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C:\Users\franc\Downloads\"/>
    </mc:Choice>
  </mc:AlternateContent>
  <xr:revisionPtr revIDLastSave="0" documentId="13_ncr:1_{A0F1FD7E-68AE-45AE-9903-72A4A2785383}" xr6:coauthVersionLast="47" xr6:coauthVersionMax="47" xr10:uidLastSave="{00000000-0000-0000-0000-000000000000}"/>
  <bookViews>
    <workbookView xWindow="-108" yWindow="-108" windowWidth="23256" windowHeight="12456" tabRatio="672" activeTab="4" xr2:uid="{2424E359-BB1A-4C61-AEBD-805991FC6353}"/>
  </bookViews>
  <sheets>
    <sheet name="Language Selection" sheetId="19" r:id="rId1"/>
    <sheet name="Introduction" sheetId="4" r:id="rId2"/>
    <sheet name="Table of Contents &amp; Validation" sheetId="16" r:id="rId3"/>
    <sheet name="General Information" sheetId="3" r:id="rId4"/>
    <sheet name="Environmental Disclosures" sheetId="1" r:id="rId5"/>
    <sheet name="Social Disclosures" sheetId="12" r:id="rId6"/>
    <sheet name="Governance Disclosures" sheetId="7" r:id="rId7"/>
    <sheet name="Footnotes" sheetId="21" r:id="rId8"/>
    <sheet name="Fuel Converter" sheetId="8" r:id="rId9"/>
    <sheet name="Fuel Conversion Parameters" sheetId="15" r:id="rId10"/>
    <sheet name="Unit Of Measurement Converter" sheetId="9" r:id="rId11"/>
    <sheet name="Enumeration Lists" sheetId="6" r:id="rId12"/>
    <sheet name="Translations" sheetId="17" r:id="rId13"/>
    <sheet name="Licence" sheetId="14" r:id="rId14"/>
    <sheet name="Technical Sheet" sheetId="11" state="hidden" r:id="rId15"/>
    <sheet name="Footnote (Taxonomy) Labels" sheetId="18" state="hidden" r:id="rId16"/>
  </sheets>
  <definedNames>
    <definedName name="_xlnm._FilterDatabase" localSheetId="12" hidden="1">Translations!$A$1:$N$477</definedName>
    <definedName name="AddressOfSite">'General Information'!$D$406:$D$505</definedName>
    <definedName name="AmountOfEmissionsTable">'Environmental Disclosures'!$D$80:$K$179</definedName>
    <definedName name="AmountOfEmissionToAir">'Environmental Disclosures'!$G$80:$I$179</definedName>
    <definedName name="AmountOfEmissionToAir_unit">'Environmental Disclosures'!$C$78</definedName>
    <definedName name="AmountOfEmissionToSoil">'Environmental Disclosures'!$K$80:$K$179</definedName>
    <definedName name="AmountOfEmissionToSoil_unit">'Environmental Disclosures'!$C$78</definedName>
    <definedName name="AmountOfEmissionToWater">'Environmental Disclosures'!$J$80:$J$179</definedName>
    <definedName name="AmountOfEmissionToWater_unit">'Environmental Disclosures'!$C$78</definedName>
    <definedName name="AmountOfWaterWithdrawnAtSitesLocatedInAreasOfHighWaterStress">'Environmental Disclosures'!$D$304</definedName>
    <definedName name="AreaOfSiteInBiodiversitySensitiveArea">'Environmental Disclosures'!$G$188:$I$287</definedName>
    <definedName name="AreaOfSiteInBiodiversitySensitiveArea_unit">'Environmental Disclosures'!$C$186</definedName>
    <definedName name="Assets">'General Information'!$E$282</definedName>
    <definedName name="AverageNumberOfAnnualTrainingHoursPerFemaleEmployee">'Social Disclosures'!$D$158</definedName>
    <definedName name="AverageNumberOfAnnualTrainingHoursPerMaleEmployee">'Social Disclosures'!$D$157</definedName>
    <definedName name="AverageNumberOfAnnualTrainingHoursPerNonReportedGenderEmployee">'Social Disclosures'!$D$160</definedName>
    <definedName name="AverageNumberOfAnnualTrainingHoursPerOtherGenderEmployee">'Social Disclosures'!$D$159</definedName>
    <definedName name="BaselineYearMember">'Environmental Disclosures'!$G$21</definedName>
    <definedName name="BasisForPreparation">'General Information'!$E$125</definedName>
    <definedName name="BasisForReporting">'General Information'!$E$179</definedName>
    <definedName name="BreakdownOfAnnualMassFlowOfRelevantMaterialsUsedByTheUndertakingHypercube">'Environmental Disclosures'!$C$435:$I$534</definedName>
    <definedName name="BreakdownOfEnergyConsumptionAxis">'Environmental Disclosures'!$C$12:$F$14</definedName>
    <definedName name="BreakdownOfEnergyConsumptionTable">'Environmental Disclosures'!$G$12:$K$14</definedName>
    <definedName name="CityOfSite">'General Information'!$F$406:$F$505</definedName>
    <definedName name="CountryOfEmploymentContractAxis">'Social Disclosures'!$C$29:$D$128</definedName>
    <definedName name="CountryOfPrimaryOperationsAndLocationOfSignificantAssets">'General Information'!$E$287</definedName>
    <definedName name="CountryOfSite">'General Information'!$G$406:$G$505</definedName>
    <definedName name="DateOfAdoptionOfTransitionPlanForUndertakingNotHavingAdoptedTransitionPlanYet">'Environmental Disclosures'!$D$62</definedName>
    <definedName name="DescriptionOfActionsTakeToAddressTheConfirmedIncidents">'Social Disclosures'!$D$192</definedName>
    <definedName name="DescriptionOfATargetRelatedToAPolicy">'General Information'!$E$522</definedName>
    <definedName name="DescriptionOfATransitionPlanForClimateChangeMitigationIncludingAnExplanationOfHowItIsContributingToReduceGhgEmissions">'Environmental Disclosures'!$D$58</definedName>
    <definedName name="DescriptionOfClimateRelatedHazardsAndClimateRelatedTransitionEvents">'Environmental Disclosures'!$E$540</definedName>
    <definedName name="DescriptionOfHowCircularEconomyPrinciplesAreApplied">'Environmental Disclosures'!$D$317</definedName>
    <definedName name="DescriptionOfKeyElementsOfStrategyThatRelatesToOrAffectsSustainabilityIssues">'General Information'!$E$531</definedName>
    <definedName name="DescriptionOfLimitsToTheDistributionOfProfitsConnectedToTheMutualisticNatureOrToTheNatureOfTheActivitiesConsistingInServicesOfGeneralEconomicInterestSGEI">'General Information'!$D$518</definedName>
    <definedName name="DescriptionOfMainBusinessRelationships">'General Information'!$E$529</definedName>
    <definedName name="DescriptionOfPracticesPoliciesAndOrFutureInitiatives">'General Information'!$E$521</definedName>
    <definedName name="DescriptionOfSignificantGroupsOfProductsAndOrServicesOffered">'General Information'!$E$527</definedName>
    <definedName name="DescriptionOfSignificantMarketsTheUndertakingOperatesIn">'General Information'!$E$528</definedName>
    <definedName name="DescriptionOfSustainabilityRelatedCertificationsOrLabels">'General Information'!$E$397</definedName>
    <definedName name="DescriptionOfTheEffectiveParticipationOfWorkersUsersOrOtherInterestedPartiesOrCommunitiesInGovernance">'General Information'!$D$516</definedName>
    <definedName name="DisclosureOfAnyOtherEnvironmentalAndOrEntitySpecificEnvironmentalDisclosures">'Environmental Disclosures'!$C$548</definedName>
    <definedName name="DisclosureOfAnyOtherGeneralAndOrEntitySpecificInformation">'General Information'!$C$17</definedName>
    <definedName name="DisclosureOfAnyOtherGovernanceAndOrEntitySpecificGovernanceDisclosures">'Governance Disclosures'!$C$38</definedName>
    <definedName name="DisclosureOfAnyOtherSocialAndOrEntitySpecificSocialDisclosures">'Social Disclosures'!$C$200</definedName>
    <definedName name="DisclosureOfHowItHasAssessedTheExposureAndSensitivityOfItsAssetsActivitiesAndValueChainToTheseHazardsAndTransitionEvents">'Environmental Disclosures'!$E$541</definedName>
    <definedName name="DisclosureOfListOfMainActionsTheEntitySeeksInOrderToAchieveItsTargets">'Environmental Disclosures'!$C$52</definedName>
    <definedName name="DisclosureOfWhetherItHasUndertakenClimateChangeAdaptationActionsForAnyClimateRelatedHazardsAndTransitionEvents">'Environmental Disclosures'!$E$543</definedName>
    <definedName name="EmployeeCountingMethodology">'General Information'!$E$285</definedName>
    <definedName name="EmployeesReceivePayEqualOrAboveMinimumWageDeterminedByNationalLawOrCollectiveAgreement">'Social Disclosures'!$D$147</definedName>
    <definedName name="EmployeeTurnoverRate">'Social Disclosures'!$D$137</definedName>
    <definedName name="EnergyConsumptionFromElectricity_NonRenewableEnergyMember">'Environmental Disclosures'!$J$12</definedName>
    <definedName name="EnergyConsumptionFromElectricity_RenewableEnergyMember">'Environmental Disclosures'!$G$12</definedName>
    <definedName name="EnergyConsumptionFromElectricity_TotalRenewableAndNonRenewableEnergyMember">'Environmental Disclosures'!$K$12</definedName>
    <definedName name="EnergyConsumptionFromFuels_NonRenewableEnergyMember">'Environmental Disclosures'!$J$14</definedName>
    <definedName name="EnergyConsumptionFromFuels_RenewableEnergyMember">'Environmental Disclosures'!$G$14</definedName>
    <definedName name="EnergyConsumptionFromFuels_TotalRenewableAndNonRenewableEnergyMember">'Environmental Disclosures'!$K$14</definedName>
    <definedName name="EnergyConsumptionFromSelfGeneratedElectricity_NonRenewableEnergyMember">'Environmental Disclosures'!$J$13</definedName>
    <definedName name="EnergyConsumptionFromSelfGeneratedElectricity_RenewableEnergyMember">'Environmental Disclosures'!$G$13</definedName>
    <definedName name="EnergyConsumptionFromSelfGeneratedElectricity_TotalRenewableAndNonRenewableEnergyMember">'Environmental Disclosures'!$K$13</definedName>
    <definedName name="enum_B2">'Enumeration Lists'!$P$2:$P$4</definedName>
    <definedName name="enum_employee_methodology">'Enumeration Lists'!$Z$2:$Z$3</definedName>
    <definedName name="enum_ImplementationStatus">'Enumeration Lists'!$S$2:$S$3</definedName>
    <definedName name="enum_list_mass_volume">'Enumeration Lists'!$AE$2:$AE$3</definedName>
    <definedName name="enum_list_options">'Enumeration Lists'!$AC$2:$AC$3</definedName>
    <definedName name="enum_list_true_false">'Enumeration Lists'!$AD$2:$AD$3</definedName>
    <definedName name="enum_ListBiodiversityArea">'Enumeration Lists'!$H$2:$H$3</definedName>
    <definedName name="enum_ListCountiesCode">'Enumeration Lists'!$E$2:$E$257</definedName>
    <definedName name="enum_ListCountriesName">'Enumeration Lists'!$C$2:$C$257</definedName>
    <definedName name="enum_ListDays">'Enumeration Lists'!$AA$2:$AA$32</definedName>
    <definedName name="enum_ListDensity">'Fuel Conversion Parameters'!$K$2:$K$9</definedName>
    <definedName name="enum_ListEnergy">'Fuel Conversion Parameters'!$I$2:$I$3</definedName>
    <definedName name="enum_ListFuel">'Fuel Conversion Parameters'!$A$2:$A$61</definedName>
    <definedName name="enum_ListHectM2">'Enumeration Lists'!$N$2:$N$3</definedName>
    <definedName name="enum_ListIdentifier">'Enumeration Lists'!$AB$2:$AB$5</definedName>
    <definedName name="enum_ListLegalForms">'Enumeration Lists'!$J$2:$J$6</definedName>
    <definedName name="enum_ListMass">'Fuel Conversion Parameters'!$G$2:$G$5</definedName>
    <definedName name="enum_ListMediumOfRelease">'Enumeration Lists'!$L$2:$L$4</definedName>
    <definedName name="enum_ListMonth">'Enumeration Lists'!$R$2:$R$13</definedName>
    <definedName name="enum_ListNACECategories">'Enumeration Lists'!$B$2:$B$398</definedName>
    <definedName name="enum_ListNACECode">'Enumeration Lists'!#REF!</definedName>
    <definedName name="enum_ListNACETechnicalName">'Enumeration Lists'!$A$3:$A$1049</definedName>
    <definedName name="enum_ListNCV">'Fuel Conversion Parameters'!$U$2:$U$13</definedName>
    <definedName name="enum_ListOfCurrencies">'Enumeration Lists'!$Y$2:$Y$170</definedName>
    <definedName name="enum_ListOfFutureYears">'Enumeration Lists'!$Q$26:$Q$102</definedName>
    <definedName name="enum_ListOfPastYears">'Enumeration Lists'!$Q$2:$Q$28</definedName>
    <definedName name="enum_ListOmittedDisclosures">'Enumeration Lists'!$T$2:$T$15</definedName>
    <definedName name="enum_ListOmittedDisclosuresWithNone">'Enumeration Lists'!$F$2:$F$22</definedName>
    <definedName name="enum_ListPollutants">'Enumeration Lists'!$G$2:$G$95</definedName>
    <definedName name="enum_ListRenewabilityState">'Fuel Conversion Parameters'!$AX$2:$AX$4</definedName>
    <definedName name="enum_ListStateOfMatter">'Fuel Conversion Parameters'!$AW$2:$AW$5</definedName>
    <definedName name="enum_ListSustainabilityIssues">'Enumeration Lists'!$M$2:$M$12</definedName>
    <definedName name="enum_ListTypeOfWastes">'Enumeration Lists'!$I$2:$I$974</definedName>
    <definedName name="enum_ListUnitMeasurement">'Enumeration Lists'!$K$2:$K$4</definedName>
    <definedName name="enum_ListUnitMeasurement_mass_only">'Enumeration Lists'!$W$2:$W$3</definedName>
    <definedName name="enum_ListVolume">'Fuel Conversion Parameters'!$H$2:$H$3</definedName>
    <definedName name="enum_ListVolumeMass">'Fuel Conversion Parameters'!$J$2:$J$7</definedName>
    <definedName name="enum_ListWasteCategories">'Enumeration Lists'!$X$2:$X$133</definedName>
    <definedName name="enum_ListYear">'Enumeration Lists'!$Q$2:$Q$102</definedName>
    <definedName name="enum_ListYesNo">'Enumeration Lists'!$O$2:$O$3</definedName>
    <definedName name="FemaleToMaleRatioAtManagementLevelForTheReportingPeriod">'Social Disclosures'!$D$167</definedName>
    <definedName name="FinancialInvestmentInTheCapitalOrAssetsOfSocialEconomyEntities">'General Information'!$D$517</definedName>
    <definedName name="footnote_ref_concept">Footnotes!$D$4:$D$1523</definedName>
    <definedName name="footnote_ref_dimension">Footnotes!$C$4:$C$1523</definedName>
    <definedName name="footnote_table">Footnotes!$B$4:$D$1523</definedName>
    <definedName name="footnote_text">Footnotes!$B$4:$B$1523</definedName>
    <definedName name="GenderDiversityRatioInGovernanceBody">'Governance Disclosures'!$H$33</definedName>
    <definedName name="GPSLocationOfSite">'General Information'!$H$406:$H$505</definedName>
    <definedName name="GreenhouseGasEmissionReductionTargetBaseYear">'Environmental Disclosures'!$G$21</definedName>
    <definedName name="GreenhouseGasEmissionReductionTargetYear">'Environmental Disclosures'!$J$21</definedName>
    <definedName name="GrossLocationBasedScope2GreenhouseGasEmissions">'Environmental Disclosures'!$D$23</definedName>
    <definedName name="GrossLocationBasedScope2GreenhouseGasEmissions_BaselineYearMember">'Environmental Disclosures'!$G$23</definedName>
    <definedName name="GrossLocationBasedScope2GreenhouseGasEmissions_TargetYearMember">'Environmental Disclosures'!$J$23</definedName>
    <definedName name="GrossMarketBasedScope2GreenhouseGasEmissions">'Environmental Disclosures'!$D$24</definedName>
    <definedName name="GrossMarketBasedScope2GreenhouseGasEmissions_BaselineYearMember">'Environmental Disclosures'!$G$24</definedName>
    <definedName name="GrossMarketBasedScope2GreenhouseGasEmissions_TargetYearMember">'Environmental Disclosures'!$J$24</definedName>
    <definedName name="GrossScope1GreenhouseGasEmissions">'Environmental Disclosures'!$D$22</definedName>
    <definedName name="GrossScope1GreenhouseGasEmissions_BaselineYearMember">'Environmental Disclosures'!$G$22</definedName>
    <definedName name="GrossScope1GreenhouseGasEmissions_TargetYearMember">'Environmental Disclosures'!$J$22</definedName>
    <definedName name="GrossScope3GreenhouseGasEmissions_BaselineYearMember">'Environmental Disclosures'!$G$45</definedName>
    <definedName name="GrossScope3GreenhouseGasEmissions_CurrentlyStatedMember">'Environmental Disclosures'!$D$45</definedName>
    <definedName name="GrossScope3GreenhouseGasEmissions_TargetYearMember">'Environmental Disclosures'!$J$45</definedName>
    <definedName name="IdentifierOfMaterialTypedAxis">'Environmental Disclosures'!$C$435:$C$534</definedName>
    <definedName name="IdentifierOfSitesInBiodiversitySensitiveAreasTypedAxis">'Environmental Disclosures'!$C$188:$C$287</definedName>
    <definedName name="IdentifierOfSiteTypedAxis">'General Information'!$C$406:$C$505</definedName>
    <definedName name="IdentifierOfSubsidiaryTypedAxis">'General Information'!$C$292:$C$391</definedName>
    <definedName name="LinkToPreviousReportContainingDisclosuresThatRemainUnchanged">'General Information'!$E$122</definedName>
    <definedName name="ListOfDisclosuresForWhichNoChangesAreReportedComparedToThePreviousPeriodReporting">'General Information'!$E$22:$E$121</definedName>
    <definedName name="ListOfOmittedDisclosuresDeemedToBeClassifiedOrSensitiveInformation">'General Information'!$E$126:$E$176</definedName>
    <definedName name="ListOfSitesTable">'General Information'!$C$406:$H$505</definedName>
    <definedName name="ListOfSubsidiaryTable">'General Information'!$C$292:$E$391</definedName>
    <definedName name="MostSeniorLevelAccountableForImplementationOfPolicies">'General Information'!$E$523</definedName>
    <definedName name="NaceSectorClassificationCodes">'General Information'!$E$182:$E$281</definedName>
    <definedName name="NameOfMaterialUsed">'Environmental Disclosures'!$D$435:$F$534</definedName>
    <definedName name="NameOfTheSubsidiary">'General Information'!$D$292:$D$391</definedName>
    <definedName name="NumberOfEmployees">'General Information'!$E$284</definedName>
    <definedName name="NumberOfEmployeesForCountryOfEmploymentContract">'Social Disclosures'!$E$29:$H$128</definedName>
    <definedName name="NumberOfEmployeesForCountryOfEmploymentContractTable">'Social Disclosures'!$C$29:$H$128</definedName>
    <definedName name="NumberOfFatalitiesAsAResultOfWorkRelatedInjuriesAndWorkRelatedIllHealth">'Social Disclosures'!$D$144</definedName>
    <definedName name="NumberOfFemaleEmployees">'Social Disclosures'!$D$19</definedName>
    <definedName name="NumberOfMaleEmployees">'Social Disclosures'!$D$18</definedName>
    <definedName name="NumberOfNonReportedGenderEmployees">'Social Disclosures'!$D$21</definedName>
    <definedName name="NumberOfOtherGenderEmployees">'Social Disclosures'!$D$20</definedName>
    <definedName name="NumberOfPermanentContractEmployees">'Social Disclosures'!$D$10</definedName>
    <definedName name="NumberOfRecordableWorkRelatedAccidentsInTheReportingPeriod">'Social Disclosures'!$D$140</definedName>
    <definedName name="NumberOfTemporaryContractEmployees">'Social Disclosures'!$D$11</definedName>
    <definedName name="OtherUndertakingsLegalForm">'General Information'!$E$181</definedName>
    <definedName name="PercentageGapInPayBetweenFemaleAndMaleEmployees">'Social Disclosures'!$D$150</definedName>
    <definedName name="PercentageOfEmployeesCoveredByCollectiveBargainingAgreements">'Social Disclosures'!$D$152</definedName>
    <definedName name="PostalCodeOfSite">'General Information'!$E$406:$E$505</definedName>
    <definedName name="PotentialAdverseEffectsOfClimateRisksThatMayAffectItsFinancialPerformanceOrBusinessOperationsInTheShortMediumOrLongTermIndicatingWhetherItAssessesTheRisksToBeHighMediumOrLow">'Environmental Disclosures'!$E$544</definedName>
    <definedName name="PracticePolicyAndOrFutureInitiativeIsPubliclyAvailable">'General Information'!$N$512</definedName>
    <definedName name="PubliclyAvailableDisclosure">'Environmental Disclosures'!$G$75</definedName>
    <definedName name="RateOfRecordableWorkRelatedAccidentsInTheReportingPeriod">'Social Disclosures'!$D$143</definedName>
    <definedName name="RegisteredAddressOfTheSubsidiary">'General Information'!$E$292:$E$391</definedName>
    <definedName name="ReportContainsDisclosuresFromThePreviousReportingPeriodThatRemainUnchanged">'General Information'!$E$21</definedName>
    <definedName name="RevenueDerivedFromChemicalProduction">'Governance Disclosures'!$H$18</definedName>
    <definedName name="RevenueDerivedFromCoal">'Governance Disclosures'!$H$14</definedName>
    <definedName name="RevenueDerivedFromControversialWeaponsAntiPersonnelMinesClusterMunitionsChemicalWeaponsAndBiologicalWeapons">'Governance Disclosures'!$H$12</definedName>
    <definedName name="RevenueDerivedFromCultivationAndProductionOfTobacco">'Governance Disclosures'!$H$13</definedName>
    <definedName name="RevenueDerivedFromGas">'Governance Disclosures'!$H$16</definedName>
    <definedName name="RevenueDerivedFromOil">'Governance Disclosures'!$H$15</definedName>
    <definedName name="Scope1AndScope2GreenhouseGasEmissionsIntensityValueLocationBased">'Environmental Disclosures'!$G$66</definedName>
    <definedName name="Scope1AndScope2GreenhouseGasEmissionsIntensityValueMarketBased">'Environmental Disclosures'!$G$67</definedName>
    <definedName name="SiteLocatedInABiodiversitySensitiveArea">'Environmental Disclosures'!$J$188:$J$287</definedName>
    <definedName name="SiteLocatedNearABiodiversitySensitiveArea">'Environmental Disclosures'!$K$188:$K$287</definedName>
    <definedName name="SitesInBiodiversitySensitiveAreasTable">'Environmental Disclosures'!$C$188:$K$287</definedName>
    <definedName name="SpecificationOfAnyConfirmedIncidentInvolvingWorkersInTheValueChainAffectedCommunitiesConsumersAndEndUsers">'Social Disclosures'!$D$194</definedName>
    <definedName name="SpecificationOfOtherHumanRightsRelatedToTheConfirmedIncident">'Social Disclosures'!$D$191</definedName>
    <definedName name="SpecificationOfOtherTypesOfContentCoveredByTheCodeOfConductOrHumanRightsPolicy">'Social Disclosures'!$D$180</definedName>
    <definedName name="SustainabilityIssueAddressedByPracticePolicyAndOrFutureInitiative">'General Information'!$D$512:$M$512</definedName>
    <definedName name="TargetYearMember">'Environmental Disclosures'!$J$21</definedName>
    <definedName name="template_b1_basis_for_preparation">'General Information'!$C$124</definedName>
    <definedName name="template_b1_disclosure_of_sustainability_related_certifications_or_labels">'General Information'!$C$393</definedName>
    <definedName name="template_b1_list_of_sites">'General Information'!$C$399</definedName>
    <definedName name="template_b1_list_of_subsidiaries">'General Information'!$C$289</definedName>
    <definedName name="template_b1_other_undertakings_general_information">'General Information'!$C$178</definedName>
    <definedName name="template_b10_workforce_number_of_training">'Social Disclosures'!$C$154</definedName>
    <definedName name="template_b10_workforce_remuneration_collective_bargaining_and_training">'Social Disclosures'!$C$146</definedName>
    <definedName name="template_b11_convictions_and_fines_for_corruption_and_bribery">'Governance Disclosures'!$C$2</definedName>
    <definedName name="template_b2_cooperative_specific_disclosures">'General Information'!$C$514</definedName>
    <definedName name="template_b2_practices_policies_and_future_initiatives_for_transitioning_towards_a_more_sustainable_economy">'General Information'!$C$507</definedName>
    <definedName name="template_b3_breakdown_of_energy_consumption_in_MWh">'Environmental Disclosures'!$C$7</definedName>
    <definedName name="template_b3_estimated_greenhouse_gas_emissions_considering_the_GHG_protocol_version_2004_in_tCO2e">'Environmental Disclosures'!$C$16</definedName>
    <definedName name="template_b3_greenhouse_gas_emission_intensity_per_turnover">'Environmental Disclosures'!$C$64</definedName>
    <definedName name="template_b3_total_energy_consumption_in_MWh">'Environmental Disclosures'!$C$2</definedName>
    <definedName name="template_b4_pollution_of_air_water_and_soil">'Environmental Disclosures'!$C$71</definedName>
    <definedName name="template_b5_biodiversity_land_use">'Environmental Disclosures'!$C$289</definedName>
    <definedName name="template_b5_sites_in_biodiversity_sensitive_areas">'Environmental Disclosures'!$C$181</definedName>
    <definedName name="template_b6_water_consumption">'Environmental Disclosures'!$C$306</definedName>
    <definedName name="template_b6_water_withdrawal">'Environmental Disclosures'!$C$300</definedName>
    <definedName name="template_b7_annual_mass_flow_of_relevant_materials_used">'Environmental Disclosures'!$C$430</definedName>
    <definedName name="template_b7_description_of_circular_economy_principles">'Environmental Disclosures'!$C$313</definedName>
    <definedName name="template_b7_waste_generated">'Environmental Disclosures'!$C$319</definedName>
    <definedName name="template_b8_workforce_general_characteristics_country_of_employment">'Social Disclosures'!$C$24</definedName>
    <definedName name="template_b8_workforce_general_characteristics_gender">'Social Disclosures'!$C$14</definedName>
    <definedName name="template_b8_workforce_general_characteristics_turnover_rate">'Social Disclosures'!$C$131</definedName>
    <definedName name="template_b8_workforce_general_characteristics_type_of_contract">'Social Disclosures'!$C$6</definedName>
    <definedName name="template_b9_workforce_health_and_safety">'Social Disclosures'!$C$139</definedName>
    <definedName name="template_c1_strategy_business_model_and_sustainability">'General Information'!$C$526</definedName>
    <definedName name="template_c2_description_of_practices_policies_and_future_initiatives_for_transitioning_towards_a_more_sustainable_economy">'General Information'!$C$520</definedName>
    <definedName name="template_c3_disclosure_of_list_of_main_actions_the_entity_seeks_in_order_to_achieve_its_targets">'Environmental Disclosures'!$C$49</definedName>
    <definedName name="template_c3_GHG_reduction_targets_in_tC02e">'Environmental Disclosures'!$G$16</definedName>
    <definedName name="template_c3_transition_plan_for_undertakings_operating_in_high_climate_impact_sectors">'Environmental Disclosures'!$C$55</definedName>
    <definedName name="template_c4_climate_risks">'Environmental Disclosures'!$C$538</definedName>
    <definedName name="template_c5_additional_general_workforce_characteristics">'Social Disclosures'!$C$164</definedName>
    <definedName name="template_c6_additional_own_workforce_information_human_rights_policies_and_processes">'Social Disclosures'!$C$171</definedName>
    <definedName name="template_c7_severe_negative_human_rights_incidents">'Social Disclosures'!$C$183</definedName>
    <definedName name="template_c8_exclusion_from_EU_reference_benchmarks">'Governance Disclosures'!$C$20</definedName>
    <definedName name="template_c8_revenues_from_certain_sectors">'Governance Disclosures'!$C$9</definedName>
    <definedName name="template_c9_gender_diversity_ratio_in_the_governance_body">'Governance Disclosures'!$C$29</definedName>
    <definedName name="template_checkbox_b1_certifications_or_labels">'Table of Contents &amp; Validation'!$D$15</definedName>
    <definedName name="template_checkbox_b1_list_of_sites">'Table of Contents &amp; Validation'!$D$16</definedName>
    <definedName name="template_checkbox_b1_list_of_subsidiaries">'Table of Contents &amp; Validation'!$D$14</definedName>
    <definedName name="template_checkbox_b1_other_undertakings_information">'Table of Contents &amp; Validation'!$D$13</definedName>
    <definedName name="template_checkbox_b10_number_annual_training_hours_per_employee">'Table of Contents &amp; Validation'!$D$45</definedName>
    <definedName name="template_checkbox_b10_remuneration_and_collective_bargaining">'Table of Contents &amp; Validation'!$D$44</definedName>
    <definedName name="template_checkbox_b11_convitions_and_fines_for_corruption_and_bribery">'Table of Contents &amp; Validation'!$D$47</definedName>
    <definedName name="template_checkbox_b2_cooperative_specific_disclosures">'Table of Contents &amp; Validation'!$D$18</definedName>
    <definedName name="template_checkbox_b2_practices_policies_and_future_initiatives">'Table of Contents &amp; Validation'!$D$17</definedName>
    <definedName name="template_checkbox_b3_breakdown_of_energy_consumption">'Table of Contents &amp; Validation'!$D$22</definedName>
    <definedName name="template_checkbox_b3_estimated_ghg_emissions">'Table of Contents &amp; Validation'!$D$23</definedName>
    <definedName name="template_checkbox_b3_ghg_emission_intensity">'Table of Contents &amp; Validation'!$D$24</definedName>
    <definedName name="template_checkbox_b3_total_energy_consumption">'Table of Contents &amp; Validation'!$D$21</definedName>
    <definedName name="template_checkbox_b4_pollution_of_air_water_and_soil">'Table of Contents &amp; Validation'!$D$25</definedName>
    <definedName name="template_checkbox_b5_biodiversity_land_use">'Table of Contents &amp; Validation'!$D$28</definedName>
    <definedName name="template_checkbox_b5_sites_in_biodiversity_sensitive_areas">'Table of Contents &amp; Validation'!$D$27</definedName>
    <definedName name="template_checkbox_b6_water_consumption">'Table of Contents &amp; Validation'!$D$31</definedName>
    <definedName name="template_checkbox_b6_water_withdrawal">'Table of Contents &amp; Validation'!$D$30</definedName>
    <definedName name="template_checkbox_b7_annual_mass_flow_of_materials">'Table of Contents &amp; Validation'!$D$35</definedName>
    <definedName name="template_checkbox_b7_description_of_circular_economy_principles">'Table of Contents &amp; Validation'!$D$33</definedName>
    <definedName name="template_checkbox_b7_waste_generated">'Table of Contents &amp; Validation'!$D$34</definedName>
    <definedName name="template_checkbox_b8_country_of_employment">'Table of Contents &amp; Validation'!$D$40</definedName>
    <definedName name="template_checkbox_b8_gender">'Table of Contents &amp; Validation'!$D$39</definedName>
    <definedName name="template_checkbox_b8_turnover_rate">'Table of Contents &amp; Validation'!$D$41</definedName>
    <definedName name="template_checkbox_b8_type_of_contract">'Table of Contents &amp; Validation'!$D$38</definedName>
    <definedName name="template_checkbox_b9_health_and_safety">'Table of Contents &amp; Validation'!$D$42</definedName>
    <definedName name="template_checkbox_c1_strategy_business_model_and_sustainability_initiatives">'Table of Contents &amp; Validation'!$D$50</definedName>
    <definedName name="template_checkbox_c2_description_of_practices_policies_and_future_initiatives">'Table of Contents &amp; Validation'!$D$51</definedName>
    <definedName name="template_checkbox_c3_ghg_reduction_targets">'Table of Contents &amp; Validation'!$D$54</definedName>
    <definedName name="template_checkbox_c3_list_of_main_actions_to_achieve_targets">'Table of Contents &amp; Validation'!$D$55</definedName>
    <definedName name="template_checkbox_c3_transition_plan">'Table of Contents &amp; Validation'!$D$56</definedName>
    <definedName name="template_checkbox_c4_climate_risks">'Table of Contents &amp; Validation'!$D$57</definedName>
    <definedName name="template_checkbox_c5_additional_workforce_characteristics">'Table of Contents &amp; Validation'!$D$59</definedName>
    <definedName name="template_checkbox_c6_additional_own_workforce_information">'Table of Contents &amp; Validation'!$D$60</definedName>
    <definedName name="template_checkbox_c7_severe_negative_human_rights_incidents">'Table of Contents &amp; Validation'!$D$61</definedName>
    <definedName name="template_checkbox_c8_exclusion_from_eu_reference_benchmarks">'Table of Contents &amp; Validation'!$D$65</definedName>
    <definedName name="template_checkbox_c8_revenues_from_certain_activities">'Table of Contents &amp; Validation'!$D$64</definedName>
    <definedName name="template_checkbox_c9_gender_diversity_ratio">'Table of Contents &amp; Validation'!$D$66</definedName>
    <definedName name="template_checkbox_entity_specific_environmental_disclosures">'Table of Contents &amp; Validation'!$D$68</definedName>
    <definedName name="template_checkbox_entity_specific_governance_disclosures">'Table of Contents &amp; Validation'!$D$70</definedName>
    <definedName name="template_checkbox_entity_specific_social_disclosures">'Table of Contents &amp; Validation'!$D$69</definedName>
    <definedName name="template_checkbox_introduction">'Table of Contents &amp; Validation'!$D$7</definedName>
    <definedName name="template_classified_or_sensitive_information">Translations!$B$57</definedName>
    <definedName name="template_currency">'General Information'!$D$5</definedName>
    <definedName name="template_disclaimer_cover_page">Translations!$B$480</definedName>
    <definedName name="template_disclosure_of_any_other_environmental_and_or_entity_specific_enviromental_disclosures">'Environmental Disclosures'!$C$546</definedName>
    <definedName name="template_disclosure_of_any_other_general_and_or_entity_specific_information_on_the_reporting_period">'General Information'!#REF!</definedName>
    <definedName name="template_disclosure_of_any_other_governance_and_or_entity_specific_governance_disclosures">'Governance Disclosures'!$C$36</definedName>
    <definedName name="template_disclosure_of_any_other_social_and_or_entity_specific_social_disclosures">'Social Disclosures'!$C$198</definedName>
    <definedName name="template_ending_date_display">'Technical Sheet'!$B$3</definedName>
    <definedName name="template_filling_sensitive_checkboxes">Translations!$B$54</definedName>
    <definedName name="template_footnote_expansion_button">Translations!$B$489</definedName>
    <definedName name="template_footnote_labels_taxonomy">'Footnote (Taxonomy) Labels'!$A$2:$A$144</definedName>
    <definedName name="template_footnote_technical_name">Translations!$B$488</definedName>
    <definedName name="template_FUEL_CONVERTER">'Fuel Converter'!$A$1</definedName>
    <definedName name="template_further_notes">'Fuel Converter'!$A$36</definedName>
    <definedName name="template_information_on_previous_reporting_period">'General Information'!$C$19</definedName>
    <definedName name="template_information_on_the_report_necessary_for_XBRL">'General Information'!$C$2</definedName>
    <definedName name="template_label_0_provide_information_that_is_mandatory_in_order_to_generate_the_vsme_and_xbrl_report">Translations!$B$27</definedName>
    <definedName name="template_label_1_fill_in_the_disclosures_on_the_four_worksheets">Translations!$B$28</definedName>
    <definedName name="template_label_1_in_cell_a9_select_the_fuel_used_searching_for_it_or_scrolling_down_the_list_displayed_clicking_the_cell">Translations!$B$397</definedName>
    <definedName name="template_label_1_in_the_cell_b5_of_the_table_related_to_the_unit_of_measurement_of_mass_converter">Translations!$B$432</definedName>
    <definedName name="template_label_1_percent_or_more_of_their_revenues_from_exploration_mining_extraction_distribution_or_refining_of_hard_coal_and_lignite">Translations!$B$373</definedName>
    <definedName name="template_label_1_purchased_goods_and_services">Translations!$B$200</definedName>
    <definedName name="template_label_10_further_notes_can_be_found_below">Translations!$B$406</definedName>
    <definedName name="template_label_10_percent_or_more_of_their_revenues_from_the_exploration_extraction_distribution_or_refining_of_oil_fuels">Translations!$B$374</definedName>
    <definedName name="template_label_10_processing_of_sold_products">Translations!$B$209</definedName>
    <definedName name="template_label_11_use_of_sold_products">Translations!$B$210</definedName>
    <definedName name="template_label_12_end_of_life_treatment_of_sold_products">Translations!$B$211</definedName>
    <definedName name="template_label_13_downstream_leased_assets">Translations!$B$212</definedName>
    <definedName name="template_label_14_franchises">Translations!$B$213</definedName>
    <definedName name="template_label_15_investments">Translations!$B$214</definedName>
    <definedName name="template_label_2_capital_goods">Translations!$B$201</definedName>
    <definedName name="template_label_2_find_more_information_on_the_actual_disclosure_requirements_in_the_vsme_standard">Translations!$B$29</definedName>
    <definedName name="template_label_2_in_cell_b9_select_the_unit_of_measurement_used">Translations!$B$398</definedName>
    <definedName name="template_label_2_then_in_the_cell_b6_the_amount_of_mass_can_be_inserted">Translations!$B$433</definedName>
    <definedName name="template_label_3_finally_in_the_cell_d5_there_should_be_the_unit_of_measurement_of_interest">Translations!$B$434</definedName>
    <definedName name="template_label_3_for_open_tables_like_the_list_of_subsidizers_sites_please_expand_the_groups_by_clicking_the_plus">Translations!$B$30</definedName>
    <definedName name="template_label_3_fuel__and_energy_related_activities">Translations!$B$202</definedName>
    <definedName name="template_label_3_in_cell_c9_select_the_amount_of_fuel_used">Translations!$B$399</definedName>
    <definedName name="template_label_4_in_cell_d9_it_is_displayed_the_state_of_matter_for_the_fuel_selected">Translations!$B$400</definedName>
    <definedName name="template_label_4_the_outcome_of_the_conversion_will_be_displayed_in_the_cell_d6">Translations!$B$435</definedName>
    <definedName name="template_label_4_upstream_transportation_and_distribution">Translations!$B$203</definedName>
    <definedName name="template_label_4_validate_the_data_entered_by_checking_the_validation_status">Translations!$B$31</definedName>
    <definedName name="template_label_5_convert_this_template_to_an_inline_xbrl_report">Translations!$B$32</definedName>
    <definedName name="template_label_5_in_cell_e9_it_is_displayed_the_typical_renewability_state_for_the_fuel_selected">Translations!$B$401</definedName>
    <definedName name="template_label_5_waste_generated_in_operations">Translations!$B$204</definedName>
    <definedName name="template_label_50_percent_or_more_of_their_revenues_from_electricity_generation">Translations!$B$376</definedName>
    <definedName name="template_label_50_percent_or_more_of_their_revenues_from_the_exploration_extraction_manufacturing_or_distribution_of_gaseous_fuels">Translations!$B$375</definedName>
    <definedName name="template_label_6_business_travel">Translations!$B$205</definedName>
    <definedName name="template_label_6_in_cell_f9_is_displayed_the_energy_produced_in_mega_watt_hours_by_the_amount_of_fuel_specified">Translations!$B$402</definedName>
    <definedName name="template_label_6_the_undertaking_may_also_upload_the_report_to_public_repositories_or_a_webpage">Translations!$B$33</definedName>
    <definedName name="template_label_7_employee_commuting">Translations!$B$206</definedName>
    <definedName name="template_label_7_in_cell_a28_is_displayed_the_total_energy_in_mega_watt_hours">Translations!$B$403</definedName>
    <definedName name="template_label_8_in_cell_a31_is_displayed_the_total_renewable_energy_in_mega_watt_hours">Translations!$B$404</definedName>
    <definedName name="template_label_8_upstream_leased_assets">Translations!$B$207</definedName>
    <definedName name="template_label_9_downstream_transportation_and_distribution">Translations!$B$208</definedName>
    <definedName name="template_label_9_in_cell_b31_is_displayed_the_total_nonrenewable_energy_in_mega_watt_hours">Translations!$B$405</definedName>
    <definedName name="template_label_accident_prevention">Translations!$B$345</definedName>
    <definedName name="template_label_additional_disclosures_validation">Translations!$B$88</definedName>
    <definedName name="template_label_additional_rows_warning">Translations!$B$461</definedName>
    <definedName name="template_label_additionally_users_are_encouraged_to_determine_the_renewability_status_of_each_fuel_based_on_guarantees_of_origin">Translations!$B$389</definedName>
    <definedName name="template_label_address">Translations!$B$139</definedName>
    <definedName name="template_label_affected_communities">Translations!$B$157</definedName>
    <definedName name="template_label_always_to_be_reported">Translations!$B$94</definedName>
    <definedName name="template_label_always_to_be_reported_if_applicable">Translations!$B$98</definedName>
    <definedName name="template_label_amount">Translations!$B$392</definedName>
    <definedName name="template_label_amount_in">Translations!$B$100</definedName>
    <definedName name="template_label_amount_of_water_withdrawn_at_sites_located_in_areas_of_high_water_stress">Translations!$B$259</definedName>
    <definedName name="template_label_annual_mass_flow_of_relevant_materials_used_validation">Translations!#REF!</definedName>
    <definedName name="template_label_area">Translations!$B$252</definedName>
    <definedName name="template_label_area_hectares_or_m2">Translations!$B$247</definedName>
    <definedName name="template_label_at">Translations!$B$93</definedName>
    <definedName name="template_label_automatic_geolocation">Translations!$B$144</definedName>
    <definedName name="template_label_average_gross_hourly_pay_level_of_female_employees">Translations!$B$326</definedName>
    <definedName name="template_label_average_gross_hourly_pay_level_of_male_employees">Translations!$B$325</definedName>
    <definedName name="template_label_average_number_of_annual_training_hours_per_employee">Translations!$B$331</definedName>
    <definedName name="template_label_b1_basis_for_preparation">Translations!$B$117</definedName>
    <definedName name="template_label_b1_basis_for_preparation_validation">Translations!$B$64</definedName>
    <definedName name="template_label_b1_disclosure_of_sustainability_related_certification_or_label">Translations!$B$135</definedName>
    <definedName name="template_label_b1_list_of_site">Translations!$B$138</definedName>
    <definedName name="template_label_b1_list_of_subsidiaries">Translations!$B$131</definedName>
    <definedName name="template_label_b1_other_undertakings_general_information">Translations!$B$118</definedName>
    <definedName name="template_label_b10_workforce_remuneration_collective_bargaining">Translations!$B$323</definedName>
    <definedName name="template_label_b10_workforce_remuneration_collective_bargaining_and_training_validation">Translations!$B$75</definedName>
    <definedName name="template_label_b11_convictions_and_fines_for_corruption_and_bribery">Translations!$B$357</definedName>
    <definedName name="template_label_b11_convictions_and_fines_for_corruption_and_bribery_validation">Translations!$B$77</definedName>
    <definedName name="template_label_b2_cooperative_specific_disclosures">Translations!$B$160</definedName>
    <definedName name="template_label_b2_practices_policies_and_future_initiatives_for_transitioning_towards_a_more_sustainable_economy">Translations!$B$145</definedName>
    <definedName name="template_label_b2_practices_policies_and_future_initiatives_for_transitioning_towards_a_more_sustainable_economy_validation">Translations!$B$65</definedName>
    <definedName name="template_label_b3_breakdown_of_energy_consumption">Translations!$B$178</definedName>
    <definedName name="template_label_b3_energy_and_greenhouse_gas_emissions_validation">Translations!$B$67</definedName>
    <definedName name="template_label_b3_estimated_greenhouse_gas_emissions">Translations!$B$186</definedName>
    <definedName name="template_label_b3_greenhouse_gas_emission_intensity_per_turnover">Translations!$B$227</definedName>
    <definedName name="template_label_b3_total_energy_consumption">Translations!$B$176</definedName>
    <definedName name="template_label_b4_pollution_of_air_water_and_soil">Translations!$B$232</definedName>
    <definedName name="template_label_b4_pollution_of_air_water_and_soil_validation">Translations!$B$68</definedName>
    <definedName name="template_label_b5_biodiversity_land_use">Translations!$B$250</definedName>
    <definedName name="template_label_b5_biodiversity_validation">Translations!$B$69</definedName>
    <definedName name="template_label_b5_sites_in_biodiversity_sensitive_areas">Translations!$B$242</definedName>
    <definedName name="template_label_b6_water_consumption">Translations!$B$260</definedName>
    <definedName name="template_label_b6_water_validation">Translations!$B$70</definedName>
    <definedName name="template_label_b6_water_withdrawal">Translations!$B$257</definedName>
    <definedName name="template_label_b7_annual_mass_flow_of_relevant_materials_used">Translations!$B$281</definedName>
    <definedName name="template_label_b7_description_of_circular_economy_principles">Translations!$B$264</definedName>
    <definedName name="template_label_b7_resource_use_circular_economy_and_waste_management_validation">Translations!$B$71</definedName>
    <definedName name="template_label_b7_waste_generated">Translations!$B$267</definedName>
    <definedName name="template_label_b8_workforce_general_characteristics_country_of_employment">Translations!$B$309</definedName>
    <definedName name="template_label_b8_workforce_general_characteristics_gender">Translations!$B$303</definedName>
    <definedName name="template_label_b8_workforce_general_characteristics_turnover_rate">Translations!$B$312</definedName>
    <definedName name="template_label_b8_workforce_general_characteristics_type_of_contract">Translations!$B$298</definedName>
    <definedName name="template_label_b8_workforce_general_characteristics_validation">Translations!$B$73</definedName>
    <definedName name="template_label_b9_workforce_health_and_safety">Translations!$B$317</definedName>
    <definedName name="template_label_b9_workforce_health_and_safety_validation">Translations!$B$74</definedName>
    <definedName name="template_label_base_year">Translations!$B$190</definedName>
    <definedName name="template_label_basic_module">Translations!$B$37</definedName>
    <definedName name="template_label_basic_module_validation">Translations!$B$63</definedName>
    <definedName name="template_label_basis_for_preparation">Translations!$B$119</definedName>
    <definedName name="template_label_basis_for_preparation_and_other_undertakings_general_information_validation">Translations!#REF!</definedName>
    <definedName name="template_label_basis_for_reporting">Translations!$B$121</definedName>
    <definedName name="template_label_below_are_specified_all_the_units_of_measurement_conversions_of_each_table">Translations!$B$437</definedName>
    <definedName name="template_label_biodiversity_and_ecosystems">Translations!$B$153</definedName>
    <definedName name="template_label_biodiversity_land_use_validation">Translations!#REF!</definedName>
    <definedName name="template_label_bold_omitted_information">Translations!$B$471</definedName>
    <definedName name="template_label_breakdown_of_energy_consumption_in_mwh_validation">Translations!#REF!</definedName>
    <definedName name="template_label_business_conduct">Translations!$B$159</definedName>
    <definedName name="template_label_buttons_footnotes">Translations!$B$478</definedName>
    <definedName name="template_label_c1_strategy_business_model_and_sustainability_related_initiatives">Translations!$B$168</definedName>
    <definedName name="template_label_c1_strategy_business_model_and_sustainability_related_initiatives_validation">Translations!$B$79</definedName>
    <definedName name="template_label_c2_description_of_practices_policies_and_future_initiatives_for_transitioning_towards_a_more_sustainable_economy">Translations!$B$164</definedName>
    <definedName name="template_label_c2_description_of_practices_policies_and_future_initiatives_for_transitioning_towards_a_more_sustainable_economy_validation">Translations!$B$80</definedName>
    <definedName name="template_label_c3_disclosure_of_list_of_main_actions_the_entity_seeks_in_order_to_achieve_its_targets">Translations!$B$218</definedName>
    <definedName name="template_label_c3_ghg_reduction_targets">Translations!$B$187</definedName>
    <definedName name="template_label_c3_ghg_reduction_targets_and_climate_transition_validation">Translations!$B$81</definedName>
    <definedName name="template_label_c3_transition_plan_for_undertakings_operating_in_high_climate_impact_sectors">Translations!$B$219</definedName>
    <definedName name="template_label_c4_climate_risks">Translations!$B$288</definedName>
    <definedName name="template_label_c4_climate_risks_validation">Translations!$B$82</definedName>
    <definedName name="template_label_c5_additional_general_workforce_characteristics_validation">Translations!$B$83</definedName>
    <definedName name="template_label_c5_additional_workforce_characteristics">Translations!$B$332</definedName>
    <definedName name="template_label_c6_additional_own_workforce_information_human_rights_policies_and_processes">Translations!$B$338</definedName>
    <definedName name="template_label_c6_additional_own_workforce_information_human_rights_policies_and_processes_validation">Translations!$B$84</definedName>
    <definedName name="template_label_c7_severe_negative_human_rights_incidents">Translations!$B$349</definedName>
    <definedName name="template_label_c7_severe_negative_human_rights_incidents_validation">Translations!$B$85</definedName>
    <definedName name="template_label_c8_exclusion_from_eu_reference_benchmarks">Translations!$B$371</definedName>
    <definedName name="template_label_c8_revenues_from_certain_sectors">Translations!$B$361</definedName>
    <definedName name="template_label_c8_revenues_from_certain_sectors_and_exclusion_from_eu_reference_benchmarks_validation">Translations!$B$86</definedName>
    <definedName name="template_label_c9_gender_diversity_ratio_in_the_governance_body">Translations!$B$379</definedName>
    <definedName name="template_label_c9_gender_diversity_ratio_in_the_governance_body_validation">Translations!$B$87</definedName>
    <definedName name="template_label_calculated_energy_in_mwh">Translations!$B$395</definedName>
    <definedName name="template_label_cell_background_color_index">Translations!$B$34</definedName>
    <definedName name="template_label_child_labour">Translations!$B$341</definedName>
    <definedName name="template_label_circular_economy">Translations!$B$154</definedName>
    <definedName name="template_label_city">Translations!$B$141</definedName>
    <definedName name="template_label_classified_or_sensitive_information">Translations!$B$455</definedName>
    <definedName name="template_label_climate_change">Translations!$B$150</definedName>
    <definedName name="template_label_complete">Translations!$B$445</definedName>
    <definedName name="template_label_comprehensive_module">Translations!$B$39</definedName>
    <definedName name="template_label_comprehensive_module_validation">Translations!$B$78</definedName>
    <definedName name="template_label_consumers_and_endusers_validation">Translations!$B$158</definedName>
    <definedName name="template_label_contents_grouping_follows_templates_framework">Translations!$B$58</definedName>
    <definedName name="template_label_cooperative_specific_disclosures_validation">Translations!#REF!</definedName>
    <definedName name="template_label_country">Translations!$B$142</definedName>
    <definedName name="template_label_country_of_employment_contract">Translations!$B$310</definedName>
    <definedName name="template_label_country_of_employment_validation">Translations!#REF!</definedName>
    <definedName name="template_label_country_of_primary_operations_and_location_of_significant_asset">Translations!$B$130</definedName>
    <definedName name="template_label_cubic_meters">Translations!$B$278</definedName>
    <definedName name="template_label_currency_of_the_monetary_values_in_the_report">Translations!$B$104</definedName>
    <definedName name="template_label_current_reporting_period">Translations!$B$189</definedName>
    <definedName name="template_label_date_of_foreseen_adoption_of_transition_plan_for_undertaking_not_having_adopted_transition_plan_yet">Translations!$B$223</definedName>
    <definedName name="template_label_date_warning">Translations!$B$460</definedName>
    <definedName name="template_label_day">Translations!$B$226</definedName>
    <definedName name="template_label_decimal_separator_document_information">Translations!$B$8</definedName>
    <definedName name="template_label_density_kg_over_l">Translations!$B$428</definedName>
    <definedName name="template_label_description_of_a_practice_policy_and_or_future_initiative_towards_a_more_sustainable_future">Translations!$B$165</definedName>
    <definedName name="template_label_description_of_a_transition_plan_for_climate_change_mitigation">Translations!$B$222</definedName>
    <definedName name="template_label_description_of_actions_taken_to_address_the_confirmed_incidents">Translations!$B$353</definedName>
    <definedName name="template_label_description_of_circular_economy_principles_validation">Translations!#REF!</definedName>
    <definedName name="template_label_description_of_climate_related_hazards_and_climate_related_transition_events">Translations!$B$290</definedName>
    <definedName name="template_label_description_of_how_it_applies_these_principles">Translations!$B$266</definedName>
    <definedName name="template_label_description_of_main_business_relationships">Translations!$B$171</definedName>
    <definedName name="template_label_description_of_significant_groups_of_products_and_or_services_offered">Translations!$B$169</definedName>
    <definedName name="template_label_description_of_significant_market_the_undertaking_operates_in">Translations!$B$170</definedName>
    <definedName name="template_label_description_of_sustainability_related_certification_or_label">Translations!$B$137</definedName>
    <definedName name="template_label_description_of_target_related_to_a_policy">Translations!$B$166</definedName>
    <definedName name="template_label_description_of_those_key_elements_in_the_strategy_that_relate_or_affect_sustainability_issues">Translations!$B$173</definedName>
    <definedName name="template_label_disclaimer">Translations!$B$386</definedName>
    <definedName name="template_label_disclosure_of_any_other_environmental_and_or_entity_specific_environmental_disclosures">Translations!$B$295</definedName>
    <definedName name="template_label_disclosure_of_any_other_environmental_and_or_entity_specific_environmental_disclosures_validation">Translations!#REF!</definedName>
    <definedName name="template_label_disclosure_of_any_other_general_and_or_entity_specific_information_on_the_reporting_period">Translations!$B$175</definedName>
    <definedName name="template_label_disclosure_of_any_other_general_and_or_entity_specific_information_on_the_reporting_period_validation">Translations!#REF!</definedName>
    <definedName name="template_label_disclosure_of_any_other_governance_and_or_entity_specific_governance_disclosures">Translations!$B$384</definedName>
    <definedName name="template_label_disclosure_of_any_other_governance_and_or_entity_specific_governance_disclosures_validation">Translations!#REF!</definedName>
    <definedName name="template_label_disclosure_of_any_other_social_and_or_entity_specific_social_disclosures">Translations!$B$356</definedName>
    <definedName name="template_label_disclosure_of_any_other_social_and_or_entity_specific_social_disclosures_validation">Translations!#REF!</definedName>
    <definedName name="template_label_disclosure_of_how_it_has_assessed_the_exposure_and_sensitivity_of_its_assets">Translations!$B$291</definedName>
    <definedName name="template_label_disclosure_of_list_of_main_actions_the_entity_seeks_in_order_to_achieve_its_targets_validation">Translations!#REF!</definedName>
    <definedName name="template_label_disclosure_of_sustainability_related_certifications_or_labels_validation">Translations!#REF!</definedName>
    <definedName name="template_label_disclosure_of_whether_it_has_undertaken_climate_change_adaptation_actions">Translations!$B$293</definedName>
    <definedName name="template_label_disclosure_selection">Translations!$B$486</definedName>
    <definedName name="template_label_disclosures_for_which_no_changes_are_reported_compared_to_the_previous_period_reporting">Translations!$B$115</definedName>
    <definedName name="template_label_disclosures_from_the_previous_reporting_period_that_remain_unchanged">Translations!$B$114</definedName>
    <definedName name="template_label_disclosures_related_to_reporting_period">Translations!$B$11</definedName>
    <definedName name="template_label_discrimination">Translations!$B$344</definedName>
    <definedName name="template_label_does_the_undertaking_have_a_code_of_conduct_or_human_rights_policy_for_its_own_workforce">Translations!$B$339</definedName>
    <definedName name="template_label_does_the_undertaking_have_a_complaint_handling_mechanism_for_its_own_workforce">Translations!$B$348</definedName>
    <definedName name="template_label_does_the_undertaking_have_a_governance_body_in_place">Translations!$B$380</definedName>
    <definedName name="template_label_does_the_undertaking_have_confirmed_incidents_in_its_own_workforce">Translations!$B$350</definedName>
    <definedName name="template_label_does_the_undertaking_have_production_processes_in_place_which_significantly_consume_water">Translations!$B$261</definedName>
    <definedName name="template_label_does_the_undertaking_have_sites_that_are_located_in_or_near_biodiversity_sensitive_areas">Translations!$B$243</definedName>
    <definedName name="template_label_does_the_undertaking_operate_in_a_sector_using_significant_material_flows">Translations!$B$282</definedName>
    <definedName name="template_label_each_expanded_fuel_converter_works_exactly_as_explained_above">Translations!#REF!</definedName>
    <definedName name="template_label_effective_participation_of_workers_users_or_other_interested_parties_or_communities_in_governance">Translations!$B$161</definedName>
    <definedName name="template_label_efrag_is_funded_by_the_european_union_through_the_single_market_programme">Translations!$B$52</definedName>
    <definedName name="template_label_electricity">Translations!$B$183</definedName>
    <definedName name="template_label_emission_to_air">Translations!$B$239</definedName>
    <definedName name="template_label_emission_to_soil">Translations!$B$241</definedName>
    <definedName name="template_label_emission_to_water">Translations!$B$240</definedName>
    <definedName name="template_label_employee_counting_methodology_end_of_reporting_period_or_average_during_the_reporting_period">Translations!$B$128</definedName>
    <definedName name="template_label_employee_counting_methodology_for_the_disclosures_below_headcount_full_time_equivalent">Translations!$B$296</definedName>
    <definedName name="template_label_employee_counting_methodology_for_the_disclosures_below_period">Translations!$B$297</definedName>
    <definedName name="template_label_employee_counting_methodology_headcount_or_fulltime_equivalent">Translations!$B$129</definedName>
    <definedName name="template_label_employee_turnover_rate_in_the_reporting_period">Translations!$B$316</definedName>
    <definedName name="template_label_employees_receive_pay_that_is_equal_or_above_applicable_minimum_wage">Translations!$B$324</definedName>
    <definedName name="template_label_ending_day">Translations!$B$111</definedName>
    <definedName name="template_label_ending_month">Translations!$B$110</definedName>
    <definedName name="template_label_ending_year">Translations!$B$109</definedName>
    <definedName name="template_label_energy_consumption_per_hour_in_mwh_for_gaseous_fuels">Translations!$B$418</definedName>
    <definedName name="template_label_energy_consumption_per_hour_in_mwh_for_liquid_fuels">Translations!$B$415</definedName>
    <definedName name="template_label_energy_consumption_per_hour_in_mwh_for_solid_fuels">Translations!$B$413</definedName>
    <definedName name="template_label_energy_consumption_warning">Translations!$B$465</definedName>
    <definedName name="template_label_energy_gaseous_fuels">Translations!$B$420</definedName>
    <definedName name="template_label_energy_liquid_fuels">Translations!$B$417</definedName>
    <definedName name="template_label_energy_solid_fuels">Translations!$B$414</definedName>
    <definedName name="template_label_entity_identifier_document_information">Translations!$B$5</definedName>
    <definedName name="template_label_entity_identifier_scheme_document_information">Translations!$B$6</definedName>
    <definedName name="template_label_entity_name_document_information">Translations!$B$4</definedName>
    <definedName name="template_label_environmental_disclosures_validation">Translations!$B$66</definedName>
    <definedName name="template_label_error">Translations!$B$447</definedName>
    <definedName name="template_label_error_plus_missing_value">Translations!$B$451</definedName>
    <definedName name="template_label_error_plus_missing_value_plus_value_inconsistency">Translations!$B$450</definedName>
    <definedName name="template_label_error_plus_value_inconsistency">Translations!$B$449</definedName>
    <definedName name="template_label_estimated_greenhouse_gas_emissions_considering_the_ghg_protocol_version_2004_in_tco2e_validation">Translations!#REF!</definedName>
    <definedName name="template_label_exclusion_from_eu_reference_benchmarks_validation">Translations!#REF!</definedName>
    <definedName name="template_label_female">Translations!$B$306</definedName>
    <definedName name="template_label_female_to_male_ratio_at_management_level_for_the_reporting_period">Translations!$B$335</definedName>
    <definedName name="template_label_financial_investment_in_the_capital_or_assets_of_social_economy_entities">Translations!$B$162</definedName>
    <definedName name="template_label_footnote_id">Translations!$B$485</definedName>
    <definedName name="template_label_footnote_instructions">Translations!$B$484</definedName>
    <definedName name="template_label_footnote_text">Translations!$B$487</definedName>
    <definedName name="template_label_forced_labour">Translations!$B$342</definedName>
    <definedName name="template_label_from">Translations!$B$91</definedName>
    <definedName name="template_label_from_capital_case">Translations!$B$422</definedName>
    <definedName name="template_label_fuel_converter">Translations!$B$385</definedName>
    <definedName name="template_label_fuel_type">Translations!$B$391</definedName>
    <definedName name="template_label_fuels">Translations!$B$185</definedName>
    <definedName name="template_label_further_notes">Translations!$B$411</definedName>
    <definedName name="template_label_gaseous_warning">Translations!$B$458</definedName>
    <definedName name="template_label_gender">Translations!$B$304</definedName>
    <definedName name="template_label_gender_diversity_ratio_in_governance_body">Translations!$B$383</definedName>
    <definedName name="template_label_gender_validation">Translations!#REF!</definedName>
    <definedName name="template_label_general_information_validation">Translations!$B$60</definedName>
    <definedName name="template_label_general_principles">Translations!$B$35</definedName>
    <definedName name="template_label_geolocalisation_warning">Translations!$B$464</definedName>
    <definedName name="template_label_GHG_calculator">Translations!$B$472</definedName>
    <definedName name="template_label_ghg_reduction_targets_in_tc02e_validation">Translations!#REF!</definedName>
    <definedName name="template_label_governance_disclosures_validation">Translations!$B$76</definedName>
    <definedName name="template_label_gps_coordinates">Translations!$B$143</definedName>
    <definedName name="template_label_greenhouse_gas_emission_intensity_per_turnover_validation">Translations!#REF!</definedName>
    <definedName name="template_label_gross_scope_1_ghg_emissions">Translations!$B$194</definedName>
    <definedName name="template_label_gross_scope_2_location_based_ghg_emissions">Translations!$B$195</definedName>
    <definedName name="template_label_gross_scope_2_market_based_ghg_emissions">Translations!$B$196</definedName>
    <definedName name="template_label_has_the_strategy_key_elements_that_relate_to_or_affect_sustainability_issues">Translations!$B$172</definedName>
    <definedName name="template_label_has_the_undertaking_has_established_ghg_emission_reduction_targets">Translations!$B$188</definedName>
    <definedName name="template_label_has_the_undertaking_identified_climate_related_hazards_and_climate_related_transition_events">Translations!$B$289</definedName>
    <definedName name="template_label_has_the_undertaking_incurred_in_convictions_and_fines_in_the_reporting_period">Translations!$B$358</definedName>
    <definedName name="template_label_has_the_undertaking_obtained_any_sustainability_related_certification_or_label">Translations!$B$136</definedName>
    <definedName name="template_label_has_the_undertaking_obtained_the_necessary_information_to_provide_an_energy_consumption_breakdown">Translations!$B$179</definedName>
    <definedName name="template_label_has_the_undertaking_put_in_place_specific_practices_policies_and_or_future">Translations!$B$146</definedName>
    <definedName name="template_label_health_and_safety_formula_warning">Translations!$B$470</definedName>
    <definedName name="template_label_how_to_use_it">Translations!$B$26</definedName>
    <definedName name="template_label_human_trafficking">Translations!$B$343</definedName>
    <definedName name="template_label_id">Translations!$B$132</definedName>
    <definedName name="template_label_identifier_of_the_reporting_entity">Translations!$B$103</definedName>
    <definedName name="template_label_identifier_warning">Translations!$B$459</definedName>
    <definedName name="template_label_if_applicable">Translations!$B$95</definedName>
    <definedName name="template_label_if_applicable_linked_to_b2">Translations!$B$99</definedName>
    <definedName name="template_label_if_yes_are_incidents_related_to">Translations!$B$351</definedName>
    <definedName name="template_label_if_yes_does_this_cover">Translations!$B$340</definedName>
    <definedName name="template_label_incomplete">Translations!$B$444</definedName>
    <definedName name="template_label_indicates_that_data_entry_is_ok_and_the_undertaking_can_proceed_to_the_next_disclosure">Translations!$B$47</definedName>
    <definedName name="template_label_indicates_that_either_data_entry_is_incorrect_in_terms_of_format_or_that_certain_information">Translations!$B$45</definedName>
    <definedName name="template_label_indicates_that_no_data_entry_is_required_unless_certain_logics_are_selected_in_the_disclosure_itself">Translations!$B$43</definedName>
    <definedName name="template_label_indicates_that_the_cell_is_automatically_calculated_and_that_no_data_entry_is_required">Translations!$B$41</definedName>
    <definedName name="template_label_indicates_that_the_cell_should_be_filled_either_by_selecting_a_value_from_the_dropdown">Translations!$B$390</definedName>
    <definedName name="template_label_indicates_that_the_datapoint_often_a_condition_will_not_be_included_in_the_vsme_and_digital_xbrl_report">Translations!$B$42</definedName>
    <definedName name="template_label_indicates_that_the_disclosure_is_from_the_general_principles_of_the_vsme">Translations!$B$36</definedName>
    <definedName name="template_label_indicates_that_the_disclosure_is_from_the_vsme_basic_module">Translations!$B$38</definedName>
    <definedName name="template_label_indicates_that_the_disclosure_is_from_the_vsme_comprehensive_module">Translations!$B$40</definedName>
    <definedName name="template_label_indicates_that_the_undertaking_has_omitted_the_data_entry_as_it_is_deemed_to_be_classified_or_sensitive_information">Translations!$B$49</definedName>
    <definedName name="template_label_information_on_previous_reporting_period">Translations!$B$113</definedName>
    <definedName name="template_label_information_on_previous_reporting_period_validation">Translations!$B$62</definedName>
    <definedName name="template_label_information_on_sensitive_information_before_converting">Translations!$B$476</definedName>
    <definedName name="template_label_information_on_the_report_necessary_for_xbrl">Translations!$B$101</definedName>
    <definedName name="template_label_information_on_the_report_necessary_for_xbrl_validation">Translations!$B$61</definedName>
    <definedName name="template_label_introduction">Translations!$B$174</definedName>
    <definedName name="template_label_invalid_url">Translations!$B$453</definedName>
    <definedName name="template_label_is_the_undertaking_aware_of_any_confirmed_incidents_involving_workers">Translations!$B$354</definedName>
    <definedName name="template_label_is_the_undertaking_deriving_revenues_from_one_of_the_activities_listed_below">Translations!$B$362</definedName>
    <definedName name="template_label_is_the_undertaking_disclosing_entity_specific_information_on_scope_3_emissions">Translations!$B$199</definedName>
    <definedName name="template_label_is_the_undertaking_operating_in_high_impact_sectors">Translations!$B$220</definedName>
    <definedName name="template_label_is_this_disclosure_already_publicly_available">Translations!$B$234</definedName>
    <definedName name="template_label_its_important_to_note_that_the_automatic_calculation_performed_by_the_fuel_converter_is_done_using_ncvs_and_densities">Translations!#REF!</definedName>
    <definedName name="template_label_just_in_case_the_solution_of_a_not_automatized_calculation_using_specific_values_is_preferred_to_the_one_of_the_converter">Translations!#REF!</definedName>
    <definedName name="template_label_kilograms">Translations!$B$286</definedName>
    <definedName name="template_label_land_use_type">Translations!$B$251</definedName>
    <definedName name="template_label_limits_to_the_distribution_of_profits">Translations!$B$163</definedName>
    <definedName name="template_label_link_to_previous_report_containing_disclosures_that_remain_unchanged">Translations!$B$116</definedName>
    <definedName name="template_label_liquid_warning">Translations!$B$456</definedName>
    <definedName name="template_label_list_of_omitted_disclosures_deemed_to_be_classified_or_sensitive_information">Translations!$B$120</definedName>
    <definedName name="template_label_list_of_sites_validation">Translations!#REF!</definedName>
    <definedName name="template_label_list_of_subsidiaries_validation">Translations!#REF!</definedName>
    <definedName name="template_label_lists_can_be_expanded_using_the_plus_button_on_the_left">Translations!$B$51</definedName>
    <definedName name="template_label_main_title_of_report_text">Translations!$B$21</definedName>
    <definedName name="template_label_male">Translations!$B$305</definedName>
    <definedName name="template_label_mass">Translations!$B$481</definedName>
    <definedName name="template_label_mass_gaseous_fuels">Translations!$B$419</definedName>
    <definedName name="template_label_mass_liquid_fuels">Translations!$B$416</definedName>
    <definedName name="template_label_mass_to_volume">Translations!$B$427</definedName>
    <definedName name="template_label_mass_to_volume_instruction">Translations!$B$443</definedName>
    <definedName name="template_label_mass_volume">Translations!$B$284</definedName>
    <definedName name="template_label_may">Translations!$B$96</definedName>
    <definedName name="template_label_may_not_headline">Translations!$B$97</definedName>
    <definedName name="template_label_missing_value">Translations!$B$446</definedName>
    <definedName name="template_label_missing_value_plus_value_inconsistency">Translations!$B$452</definedName>
    <definedName name="template_label_monetary_amount_in">Translations!$B$363</definedName>
    <definedName name="template_label_month">Translations!$B$225</definedName>
    <definedName name="template_label_most_senior_level_accountable_for_implementing_practices_policies_and_or_future_initiatives">Translations!$B$167</definedName>
    <definedName name="template_label_nace_sector_classification_code">Translations!$B$124</definedName>
    <definedName name="template_label_NACE_warning">Translations!$B$463</definedName>
    <definedName name="template_label_name">Translations!$B$133</definedName>
    <definedName name="template_label_name_of_the_key_material">Translations!$B$283</definedName>
    <definedName name="template_label_name_of_the_reporting_entity">Translations!$B$102</definedName>
    <definedName name="template_label_no_value_can_be_entered_in_the_cell">Translations!$B$50</definedName>
    <definedName name="template_label_non_renewable">Translations!$B$181</definedName>
    <definedName name="template_label_none">Translations!$B$483</definedName>
    <definedName name="template_label_none_of_the_above">Translations!$B$377</definedName>
    <definedName name="template_label_not_reported">Translations!$B$308</definedName>
    <definedName name="template_label_number_of_annual_training_hours_per_employee_during_the_reporting_period">Translations!$B$330</definedName>
    <definedName name="template_label_number_of_employees">Translations!$B$127</definedName>
    <definedName name="template_label_number_of_employees_at_the_beginning_of_the_reporting_period">Translations!$B$314</definedName>
    <definedName name="template_label_number_of_employees_at_the_end_of_the_reporting_period">Translations!$B$315</definedName>
    <definedName name="template_label_number_of_employees_covered_by_collective_bargaining_agreements">Translations!$B$328</definedName>
    <definedName name="template_label_number_of_employees_warning">Translations!$B$469</definedName>
    <definedName name="template_label_number_of_employees_who_left_during_the_reporting_period">Translations!$B$313</definedName>
    <definedName name="template_label_number_of_fatalities_as_a_result_of_work_related_injuries_and_work_related_ill_health">Translations!$B$322</definedName>
    <definedName name="template_label_number_of_female_board_members_at_the_end_of_the_reporting_period">Translations!$B$381</definedName>
    <definedName name="template_label_number_of_female_employees_at_management_level">Translations!$B$334</definedName>
    <definedName name="template_label_number_of_hours_worked_by_one_fulltime_employee_in_the_reporting_period">Translations!$B$319</definedName>
    <definedName name="template_label_number_of_male_board_members_at_the_end_of_the_reporting_period">Translations!$B$382</definedName>
    <definedName name="template_label_number_of_male_employees_at_management_level">Translations!$B$333</definedName>
    <definedName name="template_label_number_of_recordable_work_related_accidents_in_the_reporting_period">Translations!$B$318</definedName>
    <definedName name="template_label_ok">Translations!$B$454</definedName>
    <definedName name="template_label_other">Translations!$B$307</definedName>
    <definedName name="template_label_other_if_yes_specify">Translations!$B$346</definedName>
    <definedName name="template_label_other_undertakings_legal_form_specification">Translations!$B$123</definedName>
    <definedName name="template_label_other_warning">Translations!$B$462</definedName>
    <definedName name="template_label_overall_validation_status_validation">Translations!$B$55</definedName>
    <definedName name="template_label_own_workforce">Translations!$B$155</definedName>
    <definedName name="template_label_paragraph_guidance_reference">Translations!$B$90</definedName>
    <definedName name="template_label_paragraph_reference">Translations!$B$89</definedName>
    <definedName name="template_label_percentage_gap_in_pay_between_the__undertakings_female_and_male_employees">Translations!$B$327</definedName>
    <definedName name="template_label_percentage_of_employees_covered_by_collective_bargaining_agreements">Translations!$B$329</definedName>
    <definedName name="template_label_percentage_reduction_from_base_year">Translations!$B$192</definedName>
    <definedName name="template_label_permanent_contract">Translations!$B$300</definedName>
    <definedName name="template_label_please_note_that_the_typical_values_for_net_calorific_value_and_density_are_provided_for_each_fuel_type">Translations!$B$388</definedName>
    <definedName name="template_label_please_provide_the_relevant_url_link_or_hyperlink_of_where_this_information_is_reported">Translations!$B$235</definedName>
    <definedName name="template_label_please_select_the_unit_used_for_reporting_the_amount">Translations!$B$236</definedName>
    <definedName name="template_label_please_select_the_unit_used_for_the_area">Translations!$B$244</definedName>
    <definedName name="template_label_pollutant">Translations!$B$238</definedName>
    <definedName name="template_label_pollution">Translations!$B$151</definedName>
    <definedName name="template_label_postal_code">Translations!$B$140</definedName>
    <definedName name="template_label_potential_adverse_effects_of_climate_risks">Translations!$B$294</definedName>
    <definedName name="template_label_practices_policies_and_future_initiatives_for_transitioning_towards_a_more_sustainable_economy_validation">Translations!#REF!</definedName>
    <definedName name="template_label_publication_date">Translations!$B$16</definedName>
    <definedName name="template_label_rate_of_recordable_work_related_accidents_in_the_reporting_period">Translations!$B$321</definedName>
    <definedName name="template_label_registered_address">Translations!$B$134</definedName>
    <definedName name="template_label_related_site_id">Translations!$B$245</definedName>
    <definedName name="template_label_renewable">Translations!$B$180</definedName>
    <definedName name="template_label_report_currency_document_information">Translations!$B$7</definedName>
    <definedName name="template_label_report_generated">Translations!$B$10</definedName>
    <definedName name="template_label_report_period_document_information">Translations!$B$9</definedName>
    <definedName name="template_label_reporting_period">Translations!$B$13</definedName>
    <definedName name="template_label_reporting_period_end_date">Translations!$B$112</definedName>
    <definedName name="template_label_reporting_period_start_date">Translations!$B$108</definedName>
    <definedName name="template_label_reproduction_and_use_rights_are_strictly_limited">Translations!$B$53</definedName>
    <definedName name="template_label_required_by_law_or_other_national_regulations_to_report_to_competent_authorities_its_emissions_of_pollutants">Translations!$B$233</definedName>
    <definedName name="template_label_revenue_derived_from_chemicals_production">Translations!$B$370</definedName>
    <definedName name="template_label_revenue_derived_from_coal">Translations!$B$366</definedName>
    <definedName name="template_label_revenue_derived_from_controversial_weapons">Translations!$B$364</definedName>
    <definedName name="template_label_revenue_derived_from_cultivation_and_production_of_tobacco">Translations!$B$365</definedName>
    <definedName name="template_label_revenue_derived_from_gas">Translations!$B$368</definedName>
    <definedName name="template_label_revenue_derived_from_oil">Translations!$B$367</definedName>
    <definedName name="template_label_revenues_from_certain_sectors_validation">Translations!#REF!</definedName>
    <definedName name="template_label_row_id">Translations!$B$237</definedName>
    <definedName name="template_label_scope_1_and_scope_2_ghg_emissions_intensity_location_based">Translations!$B$228</definedName>
    <definedName name="template_label_scope_1_and_scope_2_ghg_emissions_intensity_market_based">Translations!$B$229</definedName>
    <definedName name="template_label_scope_3_categories_warning">Translations!$B$466</definedName>
    <definedName name="template_label_select_template_display_language">Translations!$B$19</definedName>
    <definedName name="template_label_selfgenerated_electricity">Translations!$B$184</definedName>
    <definedName name="template_label_site_ID_value_inconsistency_warning">Translations!$B$467</definedName>
    <definedName name="template_label_site_located_in_a_biodiversity_sensitive_area">Translations!$B$248</definedName>
    <definedName name="template_label_site_located_near_a_biodiversity_sensitive_area">Translations!$B$249</definedName>
    <definedName name="template_label_site_location_in_near_a_biodiversity_area">Translations!$B$246</definedName>
    <definedName name="template_label_sites_in_biodiversity_sensitive_areas_validation">Translations!#REF!</definedName>
    <definedName name="template_label_size_of_balance_sheet_in">Translations!$B$125</definedName>
    <definedName name="template_label_social_disclosures_validation">Translations!$B$72</definedName>
    <definedName name="template_label_solid_warning">Translations!$B$457</definedName>
    <definedName name="template_label_specific_content_validation_status_validation">Translations!$B$59</definedName>
    <definedName name="template_label_specification_of_any_confirmed_incident_involving_workers">Translations!$B$355</definedName>
    <definedName name="template_label_specify_other_human_rights_related_to_the_confirmed_incidents">Translations!$B$352</definedName>
    <definedName name="template_label_specify_other_types_of_content_covered_by_the_code_of_conduct_or_human_rights_policy">Translations!$B$347</definedName>
    <definedName name="template_label_starting_day">Translations!$B$107</definedName>
    <definedName name="template_label_starting_month">Translations!$B$106</definedName>
    <definedName name="template_label_starting_year">Translations!$B$105</definedName>
    <definedName name="template_label_state_of_matter">Translations!$B$393</definedName>
    <definedName name="template_label_state_of_matter_warning">Translations!#REF!</definedName>
    <definedName name="template_label_status_of_implementation_of_a_transition_plan_in_relation_to_climate_change_mitigation">Translations!$B$221</definedName>
    <definedName name="template_label_steps_to_follow_for_the_mass_table">Translations!$B$431</definedName>
    <definedName name="template_label_subtitle_of_report">Translations!$B$22</definedName>
    <definedName name="template_label_subtitle_of_report_text">Translations!$B$23</definedName>
    <definedName name="template_label_supporting_guidance_c2">Translations!$B$473</definedName>
    <definedName name="template_label_supporting_guidance_c3">Translations!$B$474</definedName>
    <definedName name="template_label_supporting_guidance_c7">Translations!$B$475</definedName>
    <definedName name="template_label_sustainability_issues_addressed_by_a_practice_policy_and_or_future_initiatives_put_in_place">Translations!$B$147</definedName>
    <definedName name="template_label_table_of_contents">Translations!$B$12</definedName>
    <definedName name="template_label_table_of_contents_validation">Translations!$B$56</definedName>
    <definedName name="template_label_target_year">Translations!$B$191</definedName>
    <definedName name="template_label_taxonomy_entry_point">Translations!$B$17</definedName>
    <definedName name="template_label_temporary_contract">Translations!$B$301</definedName>
    <definedName name="template_label_the_converter_offers_the_possibility_of_calculating_simultaneously_up_to_10_different_types_of_fuel">Translations!$B$412</definedName>
    <definedName name="template_label_the_purpose_of_this_digital_template_is_to_illustrate_how_vsme_reporting_can_be_implemented_in_a_digital_template">Translations!$B$25</definedName>
    <definedName name="template_label_the_steps_to_follow_for_the_other_tables">Translations!$B$436</definedName>
    <definedName name="template_label_this_converter_is_intended_solely_to_illustrate_how_energy_consumption_in_mwh">Translations!$B$387</definedName>
    <definedName name="template_label_time_horizons_of_any_climate_related_hazards_and_transition_events_identified">Translations!$B$292</definedName>
    <definedName name="template_label_title_of_report">Translations!$B$20</definedName>
    <definedName name="template_label_to">Translations!$B$92</definedName>
    <definedName name="template_label_total_amount_of_fines_for_the_violation_of_anti_corruption_and_anti_bribery_laws">Translations!$B$360</definedName>
    <definedName name="template_label_total_amount_of_waste_generated">Translations!$B$274</definedName>
    <definedName name="template_label_total_amount_of_water_withdrawn_from_all_sites">Translations!$B$258</definedName>
    <definedName name="template_label_total_annual_mass_flow_of_relevant_materials_used_mass">Translations!$B$285</definedName>
    <definedName name="template_label_total_annual_mass_flow_of_relevant_materials_used_volume">Translations!$B$287</definedName>
    <definedName name="template_label_total_employees">Translations!$B$302</definedName>
    <definedName name="template_label_total_energy">Translations!$B$408</definedName>
    <definedName name="template_label_total_energy_consumption">Translations!$B$177</definedName>
    <definedName name="template_label_total_energy_consumption_in_mwh_validation">Translations!#REF!</definedName>
    <definedName name="template_label_total_hazardous_waste_generated_mass">Translations!$B$273</definedName>
    <definedName name="template_label_total_hazardous_waste_generated_volume">Translations!$B$277</definedName>
    <definedName name="template_label_total_nature_oriented_area_off_site">Translations!$B$255</definedName>
    <definedName name="template_label_total_nature_oriented_area_on_site">Translations!$B$254</definedName>
    <definedName name="template_label_total_non_hazardous_waste_generated_mass">Translations!$B$275</definedName>
    <definedName name="template_label_total_non_hazardous_waste_generated_volume">Translations!$B$279</definedName>
    <definedName name="template_label_total_nonrenewable_energy">Translations!$B$410</definedName>
    <definedName name="template_label_total_number_of_convictions_for_the_violation_of_anti_corruption_and_anti_bribery_laws">Translations!$B$359</definedName>
    <definedName name="template_label_total_number_of_hours_worked_in_a_year_by_all_employees_in_the_reporting_period">Translations!$B$320</definedName>
    <definedName name="template_label_total_renewable_and_nonrenewable">Translations!$B$182</definedName>
    <definedName name="template_label_total_renewable_energy">Translations!$B$409</definedName>
    <definedName name="template_label_total_revenues_derived_from_fossil_fuel_sector">Translations!$B$369</definedName>
    <definedName name="template_label_total_scope_1_and_scope_2_ghg_emissions_location_based">Translations!$B$197</definedName>
    <definedName name="template_label_total_scope_1_and_scope_2_ghg_emissions_market_based">Translations!$B$198</definedName>
    <definedName name="template_label_total_scope_1_scope_2_and_scope_3_ghg_emissions_intensity_location_based">Translations!$B$230</definedName>
    <definedName name="template_label_total_scope_1_scope_2_and_scope_3_ghg_emissions_intensity_market_based">Translations!$B$231</definedName>
    <definedName name="template_label_total_scope_1_scope_2_and_scope_3_ghg_emissions_location_based">Translations!$B$216</definedName>
    <definedName name="template_label_total_scope_1_scope_2_and_scope_3_ghg_emissions_market_based">Translations!$B$217</definedName>
    <definedName name="template_label_total_scope_3_ghg_emissions">Translations!$B$215</definedName>
    <definedName name="template_label_total_sealed_area">Translations!$B$253</definedName>
    <definedName name="template_label_total_self_employed_workers_without_personnel_that_are_working_exclusively_for_the_undertaking">Translations!$B$336</definedName>
    <definedName name="template_label_total_temporary_workers_provided_by_undertakings_primarily_engaged_in_employment_activities">Translations!$B$337</definedName>
    <definedName name="template_label_total_use_of_land">Translations!$B$256</definedName>
    <definedName name="template_label_total_waste_generated_mass">Translations!$B$276</definedName>
    <definedName name="template_label_total_waste_generated_volume">Translations!$B$280</definedName>
    <definedName name="template_label_total_waste_recycled_reused_and_directed_to_disposal">Translations!$B$272</definedName>
    <definedName name="template_label_total_water_consumption">Translations!$B$263</definedName>
    <definedName name="template_label_transfer_the_total_results_to_the_b3_fuel_energy_consumption_reporting_cell">Translations!$B$407</definedName>
    <definedName name="template_label_transition_plan_for_undertakings_operating_in_high_climate_impact_sectors_validation">Translations!#REF!</definedName>
    <definedName name="template_label_turnover_in">Translations!$B$126</definedName>
    <definedName name="template_label_turnover_rate_validation">Translations!#REF!</definedName>
    <definedName name="template_label_type_of_contract">Translations!$B$299</definedName>
    <definedName name="template_label_type_of_contract_validation">Translations!#REF!</definedName>
    <definedName name="template_label_type_of_waste">Translations!$B$268</definedName>
    <definedName name="template_label_type_of_waste_warning">Translations!$B$468</definedName>
    <definedName name="template_label_typical_renewable_state">Translations!$B$394</definedName>
    <definedName name="template_label_undertaking_applies_circular_economy_principles">Translations!$B$265</definedName>
    <definedName name="template_label_undertaking_has_a_practice_policy_and_or_future_initiative_that_is_publicly_available">Translations!$B$148</definedName>
    <definedName name="template_label_undertaking_has_set_a_target_which_is_related_to_a_policy">Translations!$B$149</definedName>
    <definedName name="template_label_undertaking_operating_in_more_than_one_country">Translations!$B$311</definedName>
    <definedName name="template_label_undertakings_are_excluded_from_any_eu_reference_benchmarks_that_are_aligned_with_the_paris_agreement">Translations!$B$378</definedName>
    <definedName name="template_label_undertakings_are_excluded_from_the_eu_paris_aligned_benchmarks_if_they_derive">Translations!$B$372</definedName>
    <definedName name="template_label_undertakings_legal_form">Translations!$B$122</definedName>
    <definedName name="template_label_unit_of_measurement">Translations!$B$269</definedName>
    <definedName name="template_label_unit_of_measurement_converter">Translations!$B$421</definedName>
    <definedName name="template_label_unit_of_measurement_of_density_converter">Translations!$B$429</definedName>
    <definedName name="template_label_unit_of_measurement_of_density_converter_list">Translations!$B$441</definedName>
    <definedName name="template_label_unit_of_measurement_of_energy_consumption_per_hour">Translations!$B$425</definedName>
    <definedName name="template_label_unit_of_measurement_of_energy_converter_list">Translations!$B$440</definedName>
    <definedName name="template_label_unit_of_measurement_of_mass_converter">Translations!$B$423</definedName>
    <definedName name="template_label_unit_of_measurement_of_mass_converter_list">Translations!$B$438</definedName>
    <definedName name="template_label_unit_of_measurement_of_ncv_converter">Translations!$B$426</definedName>
    <definedName name="template_label_unit_of_measurement_of_ncv_converter_list">Translations!$B$442</definedName>
    <definedName name="template_label_unit_of_measurement_of_volume_converter">Translations!$B$424</definedName>
    <definedName name="template_label_unit_of_measurement_of_volume_converter_list">Translations!$B$439</definedName>
    <definedName name="template_label_usage_of_fuel_converter">Translations!$B$396</definedName>
    <definedName name="template_label_usage_of_unit_of_measurement_converter">Translations!$B$430</definedName>
    <definedName name="template_label_validation_classified_or_sensitive_information">Translations!$B$48</definedName>
    <definedName name="template_label_validation_missing_value_error_value_inconsistency_invalid_url">Translations!#REF!</definedName>
    <definedName name="template_label_validation_missing_value_error_velue_inconsistency_invalid_url">Translations!$B$44</definedName>
    <definedName name="template_label_validation_ok">Translations!$B$46</definedName>
    <definedName name="template_label_value_inconsistency">Translations!$B$448</definedName>
    <definedName name="template_label_version">Translations!$B$15</definedName>
    <definedName name="template_label_volume">Translations!$B$482</definedName>
    <definedName name="template_label_vsme_digital_template">Translations!$B$24</definedName>
    <definedName name="template_label_warning_microsoft_excel">Translations!$B$477</definedName>
    <definedName name="template_label_waste_directed_to_disposal">Translations!$B$271</definedName>
    <definedName name="template_label_waste_diverted_to_recycle_or_reuse">Translations!$B$270</definedName>
    <definedName name="template_label_waste_generated_validation">Translations!#REF!</definedName>
    <definedName name="template_label_water_and_marine_resources">Translations!$B$152</definedName>
    <definedName name="template_label_water_consumption_validation">Translations!#REF!</definedName>
    <definedName name="template_label_water_discharge_from_undertaking_production_processes">Translations!$B$262</definedName>
    <definedName name="template_label_water_withdrawal_validation">Translations!#REF!</definedName>
    <definedName name="template_label_workers_in_the_value_chain">Translations!$B$156</definedName>
    <definedName name="template_label_XBRL_facts_in_report">Translations!$B$14</definedName>
    <definedName name="template_label_year">Translations!$B$224</definedName>
    <definedName name="template_label_year_date">Translations!$B$193</definedName>
    <definedName name="template_language_selection">Translations!$B$18</definedName>
    <definedName name="template_overall_validation_status">'Table of Contents &amp; Validation'!$C$3</definedName>
    <definedName name="template_reporting_entity_identifier">'General Information'!$E$4</definedName>
    <definedName name="template_reporting_entity_identifier_scheme">'General Information'!$D$4</definedName>
    <definedName name="template_reporting_entity_name">'General Information'!$D$3:$E$3</definedName>
    <definedName name="template_reporting_period_display">'Technical Sheet'!$B$1</definedName>
    <definedName name="template_reporting_period_enddate">'General Information'!$D$13</definedName>
    <definedName name="template_reporting_period_startdate">'General Information'!$D$9</definedName>
    <definedName name="template_reporting_schemaRef">Introduction!$C$10</definedName>
    <definedName name="template_reporting_subtitle">Introduction!$C$12</definedName>
    <definedName name="template_reporting_template_version">Introduction!$C$1</definedName>
    <definedName name="template_reporting_title">Introduction!$C$11</definedName>
    <definedName name="template_selected_display_language">'Language Selection'!$G$7</definedName>
    <definedName name="template_starting_date_display">'Technical Sheet'!$B$2</definedName>
    <definedName name="template_translations">Translations!$C$3:$N$3</definedName>
    <definedName name="template_vsme_digital_template_sample">Translations!$B$479</definedName>
    <definedName name="TimeHorizonsOfAnyClimateRelatedHazardsAndTransitionEventsIdentified">'Environmental Disclosures'!$E$542</definedName>
    <definedName name="TotalAmountOfFinesForTheViolationOfAnticorruptionAndAntibriberyLaws">'Governance Disclosures'!$H$7</definedName>
    <definedName name="TotalAmountOfWaterWithdrawnFromAllSites">'Environmental Disclosures'!$D$303</definedName>
    <definedName name="TotalEnergyConsumption">'Environmental Disclosures'!$G$5</definedName>
    <definedName name="TotalGrossLocationBasedGHGEmissions_BaselineYearMember">'Environmental Disclosures'!$G$46</definedName>
    <definedName name="TotalGrossLocationBasedGHGEmissions_CurrentlyStatedMember">'Environmental Disclosures'!$D$46</definedName>
    <definedName name="TotalGrossLocationBasedGHGEmissions_TargetYearMember">'Environmental Disclosures'!$J$46</definedName>
    <definedName name="TotalGrossLocationBasedScope1AndScope2GHGEmissions">'Environmental Disclosures'!$D$25</definedName>
    <definedName name="TotalGrossLocationBasedScope1AndScope2GHGEmissions_BaselineYearMember">'Environmental Disclosures'!$G$25</definedName>
    <definedName name="TotalGrossLocationBasedScope1AndScope2GHGEmissions_TargetYearMember">'Environmental Disclosures'!$J$25</definedName>
    <definedName name="TotalGrossMarketBasedGHGEmissions_BaselineYearMember">'Environmental Disclosures'!$G$47</definedName>
    <definedName name="TotalGrossMarketBasedGHGEmissions_CurrentlyStatedMember">'Environmental Disclosures'!$D$47</definedName>
    <definedName name="TotalGrossMarketBasedGHGEmissions_TargetYearMember">'Environmental Disclosures'!$J$47</definedName>
    <definedName name="TotalGrossMarketBasedScope1AndScope2GHGEmissions">'Environmental Disclosures'!$D$26</definedName>
    <definedName name="TotalGrossMarketBasedScope1AndScope2GHGEmissions_BaselineYearMember">'Environmental Disclosures'!$G$26</definedName>
    <definedName name="TotalGrossMarketBasedScope1AndScope2GHGEmissions_TargetYearMember">'Environmental Disclosures'!$J$26</definedName>
    <definedName name="TotalHazardousWasteGeneratedMass">'Environmental Disclosures'!$J$423:$L$423</definedName>
    <definedName name="TotalHazardousWasteGeneratedMass_unit">'Environmental Disclosures'!$G$423:$I$423</definedName>
    <definedName name="TotalHazardousWasteGeneratedVolume">'Environmental Disclosures'!$J$426:$L$426</definedName>
    <definedName name="TotalHazardousWasteGeneratedVolume_unit">'Environmental Disclosures'!$G$426:$I$426</definedName>
    <definedName name="TotalLocationBasedGreenhouseGasEmissionsIntensityValue">'Environmental Disclosures'!$G$68</definedName>
    <definedName name="TotalMarketBasedGreenhouseGasEmissionsIntensityValue">'Environmental Disclosures'!$G$69</definedName>
    <definedName name="TotalMassOfMaterialUsed">'Environmental Disclosures'!$G$535</definedName>
    <definedName name="TotalMassOfMaterialUsed_unit">'Environmental Disclosures'!$J$535</definedName>
    <definedName name="TotalNatureOrientedAreaOffSite">'Environmental Disclosures'!$D$297:$F$297</definedName>
    <definedName name="TotalNatureOrientedAreaOffSite_unit">'Environmental Disclosures'!$C$293</definedName>
    <definedName name="TotalNatureOrientedAreaOnSite">'Environmental Disclosures'!$D$296:$F$296</definedName>
    <definedName name="TotalNatureOrientedAreaOnSite_unit">'Environmental Disclosures'!$C$293</definedName>
    <definedName name="TotalNonHazardousWasteGeneratedMass">'Environmental Disclosures'!$J$424:$L$424</definedName>
    <definedName name="TotalNonHazardousWasteGeneratedMass_unit">'Environmental Disclosures'!$G$424:$I$424</definedName>
    <definedName name="TotalNonHazardousWasteGeneratedVolume">'Environmental Disclosures'!$J$427:$L$427</definedName>
    <definedName name="TotalNonHazardousWasteGeneratedVolume_unit">'Environmental Disclosures'!$G$427:$I$427</definedName>
    <definedName name="TotalNumberOfConvictionsForTheViolationOfAntiCorruptionAndAntiBriberyLaws">'Governance Disclosures'!$H$6</definedName>
    <definedName name="TotalNumberOfSelfEmployedWorkersWithoutPersonnelThatAreWorkingExclusivelyForTheUndertaking">'Social Disclosures'!$D$168</definedName>
    <definedName name="TotalNumberOfTemporaryWorkersProvidedByUndertakingsPrimarilyEngagedInEmploymentActivities">'Social Disclosures'!$D$169</definedName>
    <definedName name="TotalRevenuesDerivedFromFossilFuelCoalOilAndGasSector">'Governance Disclosures'!$H$17</definedName>
    <definedName name="TotalSealedArea">'Environmental Disclosures'!$D$295:$F$295</definedName>
    <definedName name="TotalSealedArea_unit">'Environmental Disclosures'!$C$293</definedName>
    <definedName name="TotalUseOfLand">'Environmental Disclosures'!$D$298:$F$298</definedName>
    <definedName name="TotalUseOfLand_unit">'Environmental Disclosures'!$C$293</definedName>
    <definedName name="TotalVolumeOfMaterialUsed">'Environmental Disclosures'!$G$536</definedName>
    <definedName name="TotalVolumeOfMaterialUsed_unit">'Environmental Disclosures'!$J$536</definedName>
    <definedName name="TotalWasteGeneratedMass">'Environmental Disclosures'!$J$425:$L$425</definedName>
    <definedName name="TotalWasteGeneratedMass_unit">'Environmental Disclosures'!$G$425:$I$425</definedName>
    <definedName name="TotalWasteGeneratedVolume">'Environmental Disclosures'!$J$428:$L$428</definedName>
    <definedName name="TotalWasteGeneratedVolume_unit">'Environmental Disclosures'!$G$428:$I$428</definedName>
    <definedName name="TotalWasteRecycledReusedAndDirectedToDisposalMass">'Environmental Disclosures'!$L$323:$L$422</definedName>
    <definedName name="TotalWasteRecycledReusedAndDirectedToDisposalMass_unit">'Environmental Disclosures'!$G$323:$I$422</definedName>
    <definedName name="TotalWasteRecycledReusedAndDirectedToDisposalVolume">'Environmental Disclosures'!$L$323:$L$422</definedName>
    <definedName name="TotalWasteRecycledReusedAndDirectedToDisposalVolume_unit">'Environmental Disclosures'!$G$323:$I$422</definedName>
    <definedName name="TotalWaterConsumption">'Environmental Disclosures'!$D$311</definedName>
    <definedName name="Turnover">'General Information'!$E$283</definedName>
    <definedName name="TypeOfContentCoveredByTheCodeOfConductOrHumanRightsPolicyForItsOwnWorkforce">'Social Disclosures'!$D$174:$H$179</definedName>
    <definedName name="TypeOfHumanRightRelatedToTheConfirmedIncident">'Social Disclosures'!$D$186:$H$190</definedName>
    <definedName name="TypeOfNumberOfEmployees">'General Information'!$E$286</definedName>
    <definedName name="TypeOfPollutantAxis">'Environmental Disclosures'!$D$80:$F$179</definedName>
    <definedName name="TypeOfWasteAxis">'Environmental Disclosures'!$D$323:$F$422</definedName>
    <definedName name="UndertakingAppliesCircularEconomyPrinciples">'Environmental Disclosures'!$D$316</definedName>
    <definedName name="UndertakingHasACodeOfConductOrHumanRightsPolicyForItsOwnWorkforce">'Social Disclosures'!$D$172</definedName>
    <definedName name="UndertakingHasAComplaintHandlingMechanismForItsOwnWorkforce">'Social Disclosures'!$D$181</definedName>
    <definedName name="UndertakingHasConfirmedHumanRightsIncidentsInItsOwnWorkforce">'Social Disclosures'!$D$184</definedName>
    <definedName name="UndertakingHasSetATargetWhichIsRelatedToAPolicy">'General Information'!$O$512</definedName>
    <definedName name="UndertakingIsAwareOfAnyConfirmedIncidentsInvolvingWorkersInTheValueChainAffectedCommunitiesConsumersAndEndUsers">'Social Disclosures'!$D$193</definedName>
    <definedName name="UndertakingsAreExcludedFromAnyEuReferenceBenchmarksThatAreAlignedWithTheParisAgreement">'Governance Disclosures'!$H$27</definedName>
    <definedName name="UndertakingsLegalForm">'General Information'!$E$180</definedName>
    <definedName name="URLOrLinkToThePubliclyAvailableDisclosure">'Environmental Disclosures'!$G$76</definedName>
    <definedName name="VolumeOfMaterialUsed">'Environmental Disclosures'!$G$435:$I$534</definedName>
    <definedName name="VolumeOfMaterialUsed_unit">'Environmental Disclosures'!$J$435:$J$534</definedName>
    <definedName name="WasteDirectedToDisposalMass">'Environmental Disclosures'!$K$323:$K$422</definedName>
    <definedName name="WasteDirectedToDisposalMass_unit">'Environmental Disclosures'!$G$323:$I$422</definedName>
    <definedName name="WasteDirectedToDisposalVolume">'Environmental Disclosures'!$K$323:$K$422</definedName>
    <definedName name="WasteDirectedToDisposalVolume_unit">'Environmental Disclosures'!$G$323:$I$422</definedName>
    <definedName name="WasteDivertedToRecycleOrReuseMass">'Environmental Disclosures'!$J$323:$J$422</definedName>
    <definedName name="WasteDivertedToRecycleOrReuseMass_unit">'Environmental Disclosures'!$G$323:$I$422</definedName>
    <definedName name="WasteDivertedToRecycleOrReuseVolume">'Environmental Disclosures'!$J$323:$J$422</definedName>
    <definedName name="WasteDivertedToRecycleOrReuseVolume_unit">'Environmental Disclosures'!$G$323:$I$422</definedName>
    <definedName name="WasteGeneratedTable">'Environmental Disclosures'!$D$323:$L$422</definedName>
    <definedName name="WaterDischargeFromUndertakingProductionProcesses">'Environmental Disclosures'!$D$310</definedName>
    <definedName name="WeightOfMaterialUsed">'Environmental Disclosures'!$G$435:$I$534</definedName>
    <definedName name="WeightOfMaterialUsed_unit">'Environmental Disclosures'!$J$435:$J$534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4" i="17" l="1"/>
  <c r="D118" i="11" l="1"/>
  <c r="E118" i="11" s="1"/>
  <c r="H505" i="3"/>
  <c r="H428" i="3"/>
  <c r="H429" i="3"/>
  <c r="H430" i="3"/>
  <c r="H431" i="3"/>
  <c r="H432" i="3"/>
  <c r="H433" i="3"/>
  <c r="H434" i="3"/>
  <c r="H435" i="3"/>
  <c r="H436" i="3"/>
  <c r="H437" i="3"/>
  <c r="H438" i="3"/>
  <c r="H439" i="3"/>
  <c r="H440" i="3"/>
  <c r="H441" i="3"/>
  <c r="H442" i="3"/>
  <c r="H443" i="3"/>
  <c r="H444" i="3"/>
  <c r="H445" i="3"/>
  <c r="H446" i="3"/>
  <c r="H447" i="3"/>
  <c r="H448" i="3"/>
  <c r="H449" i="3"/>
  <c r="H450" i="3"/>
  <c r="H451" i="3"/>
  <c r="H452" i="3"/>
  <c r="H453" i="3"/>
  <c r="H454" i="3"/>
  <c r="H455" i="3"/>
  <c r="H456" i="3"/>
  <c r="H457" i="3"/>
  <c r="H458" i="3"/>
  <c r="H459" i="3"/>
  <c r="H460" i="3"/>
  <c r="H461" i="3"/>
  <c r="H462" i="3"/>
  <c r="H463" i="3"/>
  <c r="H464" i="3"/>
  <c r="H465" i="3"/>
  <c r="H466" i="3"/>
  <c r="H467" i="3"/>
  <c r="H468" i="3"/>
  <c r="H469" i="3"/>
  <c r="H470" i="3"/>
  <c r="H471" i="3"/>
  <c r="H472" i="3"/>
  <c r="H473" i="3"/>
  <c r="H474" i="3"/>
  <c r="H475" i="3"/>
  <c r="H476" i="3"/>
  <c r="H477" i="3"/>
  <c r="H478" i="3"/>
  <c r="H479" i="3"/>
  <c r="H480" i="3"/>
  <c r="H481" i="3"/>
  <c r="H482" i="3"/>
  <c r="H483" i="3"/>
  <c r="H484" i="3"/>
  <c r="H485" i="3"/>
  <c r="H486" i="3"/>
  <c r="H487" i="3"/>
  <c r="H488" i="3"/>
  <c r="H489" i="3"/>
  <c r="H490" i="3"/>
  <c r="H491" i="3"/>
  <c r="H492" i="3"/>
  <c r="H494" i="3"/>
  <c r="H495" i="3"/>
  <c r="H496" i="3"/>
  <c r="H497" i="3"/>
  <c r="H498" i="3"/>
  <c r="H499" i="3"/>
  <c r="H500" i="3"/>
  <c r="H501" i="3"/>
  <c r="H502" i="3"/>
  <c r="H503" i="3"/>
  <c r="H504" i="3"/>
  <c r="D24" i="11"/>
  <c r="D25" i="11"/>
  <c r="D26" i="11"/>
  <c r="E26" i="11" s="1"/>
  <c r="D27" i="11"/>
  <c r="F27" i="11" s="1"/>
  <c r="D28" i="11"/>
  <c r="D29" i="11"/>
  <c r="D30" i="11"/>
  <c r="F30" i="11" s="1"/>
  <c r="D31" i="11"/>
  <c r="F31" i="11" s="1"/>
  <c r="D32" i="11"/>
  <c r="E32" i="11" s="1"/>
  <c r="D33" i="11"/>
  <c r="E33" i="11" s="1"/>
  <c r="D34" i="11"/>
  <c r="E34" i="11" s="1"/>
  <c r="D35" i="11"/>
  <c r="F35" i="11" s="1"/>
  <c r="D36" i="11"/>
  <c r="E36" i="11" s="1"/>
  <c r="G36" i="11" s="1"/>
  <c r="D37" i="11"/>
  <c r="F37" i="11" s="1"/>
  <c r="D38" i="11"/>
  <c r="F38" i="11" s="1"/>
  <c r="D39" i="11"/>
  <c r="F39" i="11" s="1"/>
  <c r="D40" i="11"/>
  <c r="D41" i="11"/>
  <c r="D42" i="11"/>
  <c r="F42" i="11" s="1"/>
  <c r="D43" i="11"/>
  <c r="F43" i="11" s="1"/>
  <c r="D44" i="11"/>
  <c r="E44" i="11" s="1"/>
  <c r="D45" i="11"/>
  <c r="E45" i="11" s="1"/>
  <c r="D46" i="11"/>
  <c r="F46" i="11" s="1"/>
  <c r="D47" i="11"/>
  <c r="F47" i="11" s="1"/>
  <c r="D48" i="11"/>
  <c r="D49" i="11"/>
  <c r="D50" i="11"/>
  <c r="E50" i="11" s="1"/>
  <c r="D51" i="11"/>
  <c r="F51" i="11" s="1"/>
  <c r="D52" i="11"/>
  <c r="D53" i="11"/>
  <c r="D54" i="11"/>
  <c r="F54" i="11" s="1"/>
  <c r="D55" i="11"/>
  <c r="F55" i="11" s="1"/>
  <c r="D56" i="11"/>
  <c r="F56" i="11" s="1"/>
  <c r="D57" i="11"/>
  <c r="F57" i="11" s="1"/>
  <c r="D58" i="11"/>
  <c r="E58" i="11" s="1"/>
  <c r="D59" i="11"/>
  <c r="F59" i="11" s="1"/>
  <c r="D60" i="11"/>
  <c r="E60" i="11" s="1"/>
  <c r="G60" i="11" s="1"/>
  <c r="D61" i="11"/>
  <c r="F61" i="11" s="1"/>
  <c r="D62" i="11"/>
  <c r="F62" i="11" s="1"/>
  <c r="D63" i="11"/>
  <c r="E63" i="11" s="1"/>
  <c r="D64" i="11"/>
  <c r="D65" i="11"/>
  <c r="D66" i="11"/>
  <c r="F66" i="11" s="1"/>
  <c r="D67" i="11"/>
  <c r="F67" i="11" s="1"/>
  <c r="D68" i="11"/>
  <c r="E68" i="11" s="1"/>
  <c r="D69" i="11"/>
  <c r="E69" i="11" s="1"/>
  <c r="D70" i="11"/>
  <c r="F70" i="11" s="1"/>
  <c r="D71" i="11"/>
  <c r="F71" i="11" s="1"/>
  <c r="D72" i="11"/>
  <c r="D73" i="11"/>
  <c r="D74" i="11"/>
  <c r="E74" i="11" s="1"/>
  <c r="D75" i="11"/>
  <c r="F75" i="11" s="1"/>
  <c r="D76" i="11"/>
  <c r="D77" i="11"/>
  <c r="D78" i="11"/>
  <c r="F78" i="11" s="1"/>
  <c r="D79" i="11"/>
  <c r="E79" i="11" s="1"/>
  <c r="D80" i="11"/>
  <c r="F80" i="11" s="1"/>
  <c r="D81" i="11"/>
  <c r="F81" i="11" s="1"/>
  <c r="D82" i="11"/>
  <c r="E82" i="11" s="1"/>
  <c r="D83" i="11"/>
  <c r="E83" i="11" s="1"/>
  <c r="D84" i="11"/>
  <c r="E84" i="11" s="1"/>
  <c r="G84" i="11" s="1"/>
  <c r="D85" i="11"/>
  <c r="F85" i="11" s="1"/>
  <c r="D86" i="11"/>
  <c r="F86" i="11" s="1"/>
  <c r="D87" i="11"/>
  <c r="F87" i="11" s="1"/>
  <c r="D88" i="11"/>
  <c r="D89" i="11"/>
  <c r="F89" i="11" s="1"/>
  <c r="D90" i="11"/>
  <c r="F90" i="11" s="1"/>
  <c r="D91" i="11"/>
  <c r="F91" i="11" s="1"/>
  <c r="D92" i="11"/>
  <c r="E92" i="11" s="1"/>
  <c r="D93" i="11"/>
  <c r="E93" i="11" s="1"/>
  <c r="D94" i="11"/>
  <c r="F94" i="11" s="1"/>
  <c r="D95" i="11"/>
  <c r="F95" i="11" s="1"/>
  <c r="D96" i="11"/>
  <c r="D97" i="11"/>
  <c r="F97" i="11" s="1"/>
  <c r="G97" i="11" s="1"/>
  <c r="D98" i="11"/>
  <c r="F98" i="11" s="1"/>
  <c r="D99" i="11"/>
  <c r="F99" i="11" s="1"/>
  <c r="D100" i="11"/>
  <c r="D101" i="11"/>
  <c r="D102" i="11"/>
  <c r="F102" i="11" s="1"/>
  <c r="D103" i="11"/>
  <c r="E103" i="11" s="1"/>
  <c r="D104" i="11"/>
  <c r="F104" i="11" s="1"/>
  <c r="D105" i="11"/>
  <c r="E105" i="11" s="1"/>
  <c r="D108" i="11"/>
  <c r="F108" i="11" s="1"/>
  <c r="D109" i="11"/>
  <c r="D110" i="11"/>
  <c r="D111" i="11"/>
  <c r="D115" i="11"/>
  <c r="F115" i="11" s="1"/>
  <c r="D116" i="11"/>
  <c r="F116" i="11" s="1"/>
  <c r="D117" i="11"/>
  <c r="E117" i="11" s="1"/>
  <c r="E24" i="11"/>
  <c r="G24" i="11" s="1"/>
  <c r="E25" i="11"/>
  <c r="E28" i="11"/>
  <c r="E29" i="11"/>
  <c r="E40" i="11"/>
  <c r="E41" i="11"/>
  <c r="E48" i="11"/>
  <c r="G48" i="11" s="1"/>
  <c r="E49" i="11"/>
  <c r="E52" i="11"/>
  <c r="G52" i="11" s="1"/>
  <c r="E53" i="11"/>
  <c r="E64" i="11"/>
  <c r="E65" i="11"/>
  <c r="E72" i="11"/>
  <c r="G72" i="11" s="1"/>
  <c r="E73" i="11"/>
  <c r="E76" i="11"/>
  <c r="E77" i="11"/>
  <c r="E88" i="11"/>
  <c r="E96" i="11"/>
  <c r="G96" i="11" s="1"/>
  <c r="E97" i="11"/>
  <c r="E100" i="11"/>
  <c r="G100" i="11" s="1"/>
  <c r="E101" i="11"/>
  <c r="E109" i="11"/>
  <c r="E110" i="11"/>
  <c r="E111" i="11"/>
  <c r="F24" i="11"/>
  <c r="F25" i="11"/>
  <c r="F26" i="11"/>
  <c r="F28" i="11"/>
  <c r="F29" i="11"/>
  <c r="F36" i="11"/>
  <c r="F40" i="11"/>
  <c r="F41" i="11"/>
  <c r="F48" i="11"/>
  <c r="F49" i="11"/>
  <c r="F50" i="11"/>
  <c r="F52" i="11"/>
  <c r="F53" i="11"/>
  <c r="F60" i="11"/>
  <c r="F64" i="11"/>
  <c r="F65" i="11"/>
  <c r="F72" i="11"/>
  <c r="F73" i="11"/>
  <c r="F74" i="11"/>
  <c r="F76" i="11"/>
  <c r="F77" i="11"/>
  <c r="F84" i="11"/>
  <c r="F88" i="11"/>
  <c r="F96" i="11"/>
  <c r="F100" i="11"/>
  <c r="F101" i="11"/>
  <c r="F109" i="11"/>
  <c r="G109" i="11" s="1"/>
  <c r="F110" i="11"/>
  <c r="F111" i="11"/>
  <c r="G111" i="11" s="1"/>
  <c r="G64" i="11"/>
  <c r="G88" i="11"/>
  <c r="F17" i="3"/>
  <c r="E194" i="11"/>
  <c r="E195" i="11"/>
  <c r="E196" i="11"/>
  <c r="E197" i="11"/>
  <c r="E198" i="11"/>
  <c r="E207" i="11"/>
  <c r="E224" i="11"/>
  <c r="E234" i="11"/>
  <c r="E236" i="11"/>
  <c r="E237" i="11"/>
  <c r="E240" i="11"/>
  <c r="E246" i="11"/>
  <c r="E250" i="11"/>
  <c r="E255" i="11"/>
  <c r="F195" i="11"/>
  <c r="E193" i="11"/>
  <c r="A2" i="18" a="1"/>
  <c r="A3" i="18" a="1"/>
  <c r="A4" i="18" a="1"/>
  <c r="A5" i="18" a="1"/>
  <c r="A6" i="18" a="1"/>
  <c r="A7" i="18" a="1"/>
  <c r="A8" i="18" a="1"/>
  <c r="A9" i="18" a="1"/>
  <c r="A10" i="18" a="1"/>
  <c r="A11" i="18" a="1"/>
  <c r="A12" i="18" a="1"/>
  <c r="A13" i="18" a="1"/>
  <c r="A14" i="18" a="1"/>
  <c r="A15" i="18" a="1"/>
  <c r="A16" i="18" a="1"/>
  <c r="A17" i="18" a="1"/>
  <c r="A18" i="18" a="1"/>
  <c r="A19" i="18" a="1"/>
  <c r="A20" i="18" a="1"/>
  <c r="A21" i="18" a="1"/>
  <c r="A22" i="18" a="1"/>
  <c r="A23" i="18" a="1"/>
  <c r="A24" i="18" a="1"/>
  <c r="A25" i="18" a="1"/>
  <c r="A26" i="18" a="1"/>
  <c r="A27" i="18" a="1"/>
  <c r="A28" i="18" a="1"/>
  <c r="A29" i="18" a="1"/>
  <c r="A30" i="18" a="1"/>
  <c r="A31" i="18" a="1"/>
  <c r="A32" i="18" a="1"/>
  <c r="A33" i="18" a="1"/>
  <c r="A34" i="18" a="1"/>
  <c r="A35" i="18" a="1"/>
  <c r="A36" i="18" a="1"/>
  <c r="A37" i="18" a="1"/>
  <c r="A38" i="18" a="1"/>
  <c r="A39" i="18" a="1"/>
  <c r="A40" i="18" a="1"/>
  <c r="A41" i="18" a="1"/>
  <c r="A42" i="18" a="1"/>
  <c r="A43" i="18" a="1"/>
  <c r="A44" i="18" a="1"/>
  <c r="A45" i="18" a="1"/>
  <c r="A46" i="18" a="1"/>
  <c r="A47" i="18" a="1"/>
  <c r="A48" i="18" a="1"/>
  <c r="A49" i="18" a="1"/>
  <c r="A50" i="18" a="1"/>
  <c r="A51" i="18" a="1"/>
  <c r="A52" i="18" a="1"/>
  <c r="A53" i="18" a="1"/>
  <c r="A54" i="18" a="1"/>
  <c r="A55" i="18" a="1"/>
  <c r="A56" i="18" a="1"/>
  <c r="A57" i="18" a="1"/>
  <c r="A58" i="18" a="1"/>
  <c r="A59" i="18" a="1"/>
  <c r="A60" i="18" a="1"/>
  <c r="A61" i="18" a="1"/>
  <c r="A62" i="18" a="1"/>
  <c r="A63" i="18" a="1"/>
  <c r="A64" i="18" a="1"/>
  <c r="A65" i="18" a="1"/>
  <c r="A66" i="18" a="1"/>
  <c r="A67" i="18" a="1"/>
  <c r="A68" i="18" a="1"/>
  <c r="A69" i="18" a="1"/>
  <c r="A70" i="18" a="1"/>
  <c r="A71" i="18" a="1"/>
  <c r="A72" i="18" a="1"/>
  <c r="A73" i="18" a="1"/>
  <c r="A74" i="18" a="1"/>
  <c r="A75" i="18" a="1"/>
  <c r="A76" i="18" a="1"/>
  <c r="A77" i="18" a="1"/>
  <c r="A78" i="18" a="1"/>
  <c r="A79" i="18" a="1"/>
  <c r="A80" i="18" a="1"/>
  <c r="A81" i="18" a="1"/>
  <c r="A82" i="18" a="1"/>
  <c r="A83" i="18" a="1"/>
  <c r="A84" i="18" a="1"/>
  <c r="A85" i="18" a="1"/>
  <c r="A86" i="18" a="1"/>
  <c r="A87" i="18" a="1"/>
  <c r="A88" i="18" a="1"/>
  <c r="A89" i="18" a="1"/>
  <c r="A90" i="18" a="1"/>
  <c r="A91" i="18" a="1"/>
  <c r="A92" i="18" a="1"/>
  <c r="A93" i="18" a="1"/>
  <c r="A94" i="18" a="1"/>
  <c r="A95" i="18" a="1"/>
  <c r="A96" i="18" a="1"/>
  <c r="A97" i="18" a="1"/>
  <c r="A98" i="18" a="1"/>
  <c r="A99" i="18" a="1"/>
  <c r="A100" i="18" a="1"/>
  <c r="A101" i="18" a="1"/>
  <c r="A102" i="18" a="1"/>
  <c r="A103" i="18" a="1"/>
  <c r="A104" i="18" a="1"/>
  <c r="A105" i="18" a="1"/>
  <c r="A106" i="18" a="1"/>
  <c r="A107" i="18" a="1"/>
  <c r="A108" i="18" a="1"/>
  <c r="A109" i="18" a="1"/>
  <c r="A110" i="18" a="1"/>
  <c r="A111" i="18" a="1"/>
  <c r="A112" i="18" a="1"/>
  <c r="A113" i="18" a="1"/>
  <c r="A114" i="18" a="1"/>
  <c r="A115" i="18" a="1"/>
  <c r="A116" i="18" a="1"/>
  <c r="A117" i="18" a="1"/>
  <c r="A118" i="18" a="1"/>
  <c r="A119" i="18" a="1"/>
  <c r="A120" i="18" a="1"/>
  <c r="A121" i="18" a="1"/>
  <c r="A122" i="18" a="1"/>
  <c r="A123" i="18" a="1"/>
  <c r="A124" i="18" a="1"/>
  <c r="A125" i="18" a="1"/>
  <c r="A126" i="18" a="1"/>
  <c r="A127" i="18" a="1"/>
  <c r="A128" i="18" a="1"/>
  <c r="A129" i="18" a="1"/>
  <c r="A130" i="18" a="1"/>
  <c r="A131" i="18" a="1"/>
  <c r="A132" i="18" a="1"/>
  <c r="A133" i="18" a="1"/>
  <c r="A134" i="18" a="1"/>
  <c r="A135" i="18" a="1"/>
  <c r="A136" i="18" a="1"/>
  <c r="A137" i="18" a="1"/>
  <c r="A138" i="18" a="1"/>
  <c r="A139" i="18" a="1"/>
  <c r="A140" i="18" a="1"/>
  <c r="A141" i="18" a="1"/>
  <c r="A142" i="18" a="1"/>
  <c r="A143" i="18" a="1"/>
  <c r="A144" i="18" a="1"/>
  <c r="F118" i="11" l="1"/>
  <c r="E108" i="11"/>
  <c r="G108" i="11" s="1"/>
  <c r="G99" i="11"/>
  <c r="G37" i="11"/>
  <c r="E75" i="11"/>
  <c r="G75" i="11" s="1"/>
  <c r="E51" i="11"/>
  <c r="G51" i="11" s="1"/>
  <c r="E27" i="11"/>
  <c r="G27" i="11" s="1"/>
  <c r="E99" i="11"/>
  <c r="E98" i="11"/>
  <c r="G25" i="11"/>
  <c r="E87" i="11"/>
  <c r="G87" i="11" s="1"/>
  <c r="E39" i="11"/>
  <c r="G39" i="11" s="1"/>
  <c r="G73" i="11"/>
  <c r="F63" i="11"/>
  <c r="G63" i="11" s="1"/>
  <c r="E86" i="11"/>
  <c r="E62" i="11"/>
  <c r="G62" i="11" s="1"/>
  <c r="E38" i="11"/>
  <c r="G38" i="11" s="1"/>
  <c r="E85" i="11"/>
  <c r="G85" i="11" s="1"/>
  <c r="E61" i="11"/>
  <c r="G61" i="11" s="1"/>
  <c r="E37" i="11"/>
  <c r="G49" i="11"/>
  <c r="E89" i="11"/>
  <c r="G89" i="11" s="1"/>
  <c r="H493" i="3" s="1"/>
  <c r="G118" i="11"/>
  <c r="E95" i="11"/>
  <c r="E59" i="11"/>
  <c r="E35" i="11"/>
  <c r="E94" i="11"/>
  <c r="G94" i="11" s="1"/>
  <c r="F34" i="11"/>
  <c r="G34" i="11" s="1"/>
  <c r="F117" i="11"/>
  <c r="G117" i="11" s="1"/>
  <c r="F45" i="11"/>
  <c r="G45" i="11" s="1"/>
  <c r="F92" i="11"/>
  <c r="G92" i="11" s="1"/>
  <c r="F68" i="11"/>
  <c r="G68" i="11" s="1"/>
  <c r="F44" i="11"/>
  <c r="G44" i="11" s="1"/>
  <c r="F32" i="11"/>
  <c r="G32" i="11" s="1"/>
  <c r="E115" i="11"/>
  <c r="E91" i="11"/>
  <c r="G91" i="11" s="1"/>
  <c r="E67" i="11"/>
  <c r="E55" i="11"/>
  <c r="E43" i="11"/>
  <c r="G43" i="11" s="1"/>
  <c r="E31" i="11"/>
  <c r="G31" i="11" s="1"/>
  <c r="F103" i="11"/>
  <c r="G103" i="11" s="1"/>
  <c r="F79" i="11"/>
  <c r="G79" i="11" s="1"/>
  <c r="E102" i="11"/>
  <c r="E90" i="11"/>
  <c r="G90" i="11" s="1"/>
  <c r="E78" i="11"/>
  <c r="E66" i="11"/>
  <c r="G66" i="11" s="1"/>
  <c r="E54" i="11"/>
  <c r="E42" i="11"/>
  <c r="G42" i="11" s="1"/>
  <c r="E30" i="11"/>
  <c r="G30" i="11" s="1"/>
  <c r="E71" i="11"/>
  <c r="G71" i="11" s="1"/>
  <c r="E47" i="11"/>
  <c r="G47" i="11" s="1"/>
  <c r="E46" i="11"/>
  <c r="G46" i="11" s="1"/>
  <c r="F93" i="11"/>
  <c r="E116" i="11"/>
  <c r="G116" i="11" s="1"/>
  <c r="E80" i="11"/>
  <c r="G80" i="11" s="1"/>
  <c r="F83" i="11"/>
  <c r="G83" i="11" s="1"/>
  <c r="E70" i="11"/>
  <c r="G70" i="11" s="1"/>
  <c r="F105" i="11"/>
  <c r="F33" i="11"/>
  <c r="G76" i="11"/>
  <c r="G40" i="11"/>
  <c r="G28" i="11"/>
  <c r="F58" i="11"/>
  <c r="G58" i="11" s="1"/>
  <c r="E81" i="11"/>
  <c r="G81" i="11" s="1"/>
  <c r="E104" i="11"/>
  <c r="E56" i="11"/>
  <c r="G56" i="11" s="1"/>
  <c r="F82" i="11"/>
  <c r="G82" i="11" s="1"/>
  <c r="E57" i="11"/>
  <c r="G57" i="11" s="1"/>
  <c r="F69" i="11"/>
  <c r="G54" i="11"/>
  <c r="G101" i="11"/>
  <c r="G77" i="11"/>
  <c r="G65" i="11"/>
  <c r="G41" i="11"/>
  <c r="G29" i="11"/>
  <c r="G95" i="11"/>
  <c r="G59" i="11"/>
  <c r="G35" i="11"/>
  <c r="G105" i="11"/>
  <c r="G33" i="11"/>
  <c r="G115" i="11"/>
  <c r="G67" i="11"/>
  <c r="G102" i="11"/>
  <c r="G53" i="11"/>
  <c r="G69" i="11"/>
  <c r="G78" i="11"/>
  <c r="G110" i="11"/>
  <c r="G98" i="11"/>
  <c r="G86" i="11"/>
  <c r="G74" i="11"/>
  <c r="G50" i="11"/>
  <c r="G26" i="11"/>
  <c r="G93" i="11"/>
  <c r="G104" i="11"/>
  <c r="G55" i="11"/>
  <c r="F4" i="12"/>
  <c r="I149" i="12"/>
  <c r="I148" i="12"/>
  <c r="I136" i="12"/>
  <c r="I135" i="12"/>
  <c r="I134" i="12"/>
  <c r="H522" i="3"/>
  <c r="H521" i="3"/>
  <c r="F21" i="3"/>
  <c r="F22" i="3"/>
  <c r="F23" i="3"/>
  <c r="F24" i="3"/>
  <c r="F25" i="3"/>
  <c r="F26" i="3"/>
  <c r="F27" i="3"/>
  <c r="F28" i="3"/>
  <c r="F29" i="3"/>
  <c r="F30" i="3"/>
  <c r="F122" i="3"/>
  <c r="F181"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F321" i="3"/>
  <c r="F322" i="3"/>
  <c r="F323" i="3"/>
  <c r="F324" i="3"/>
  <c r="F325" i="3"/>
  <c r="F326" i="3"/>
  <c r="F327" i="3"/>
  <c r="F328" i="3"/>
  <c r="F329" i="3"/>
  <c r="F330" i="3"/>
  <c r="F331" i="3"/>
  <c r="F332" i="3"/>
  <c r="F333" i="3"/>
  <c r="F334" i="3"/>
  <c r="F335" i="3"/>
  <c r="F336" i="3"/>
  <c r="F337" i="3"/>
  <c r="F338" i="3"/>
  <c r="F339" i="3"/>
  <c r="F340" i="3"/>
  <c r="F341" i="3"/>
  <c r="F342" i="3"/>
  <c r="F343" i="3"/>
  <c r="F344" i="3"/>
  <c r="F345" i="3"/>
  <c r="F346" i="3"/>
  <c r="F347" i="3"/>
  <c r="F348" i="3"/>
  <c r="F349" i="3"/>
  <c r="F350" i="3"/>
  <c r="F351" i="3"/>
  <c r="F352" i="3"/>
  <c r="F353" i="3"/>
  <c r="F354" i="3"/>
  <c r="F355" i="3"/>
  <c r="F356" i="3"/>
  <c r="F357" i="3"/>
  <c r="F358" i="3"/>
  <c r="F359" i="3"/>
  <c r="F360" i="3"/>
  <c r="F361" i="3"/>
  <c r="F362" i="3"/>
  <c r="F363" i="3"/>
  <c r="F364" i="3"/>
  <c r="F365" i="3"/>
  <c r="F366" i="3"/>
  <c r="F367" i="3"/>
  <c r="F368" i="3"/>
  <c r="F369" i="3"/>
  <c r="F370" i="3"/>
  <c r="F371" i="3"/>
  <c r="F372" i="3"/>
  <c r="F373" i="3"/>
  <c r="F374" i="3"/>
  <c r="F375" i="3"/>
  <c r="F376" i="3"/>
  <c r="F377" i="3"/>
  <c r="F378" i="3"/>
  <c r="F379" i="3"/>
  <c r="F380" i="3"/>
  <c r="F381" i="3"/>
  <c r="F382" i="3"/>
  <c r="F383" i="3"/>
  <c r="F384" i="3"/>
  <c r="F385" i="3"/>
  <c r="F386" i="3"/>
  <c r="F387" i="3"/>
  <c r="F388" i="3"/>
  <c r="F389" i="3"/>
  <c r="F390" i="3"/>
  <c r="F391" i="3"/>
  <c r="D29" i="9" l="1" a="1"/>
  <c r="D28" i="9" a="1"/>
  <c r="D22" i="9"/>
  <c r="D18" i="9"/>
  <c r="D14" i="9"/>
  <c r="D10" i="9"/>
  <c r="D6" i="9"/>
  <c r="M3" i="17" l="1"/>
  <c r="N3" i="17" l="1"/>
  <c r="L3" i="17"/>
  <c r="K3" i="17"/>
  <c r="J3" i="17"/>
  <c r="I3" i="17"/>
  <c r="H3" i="17"/>
  <c r="G3" i="17"/>
  <c r="F3" i="17"/>
  <c r="E3" i="17"/>
  <c r="D3" i="17"/>
  <c r="C3" i="17"/>
  <c r="L75" i="1" a="1"/>
  <c r="L80" i="1"/>
  <c r="L78" i="1" a="1"/>
  <c r="H33" i="7"/>
  <c r="H27" i="7"/>
  <c r="D32" i="16"/>
  <c r="D20" i="16"/>
  <c r="B489" i="17" l="1"/>
  <c r="B1525" i="21" s="1"/>
  <c r="B488" i="17"/>
  <c r="C3" i="21" s="1"/>
  <c r="B443" i="17"/>
  <c r="G11" i="9" s="1"/>
  <c r="B478" i="17"/>
  <c r="B2" i="21" s="1"/>
  <c r="B428" i="17"/>
  <c r="A25" i="9" s="1"/>
  <c r="B427" i="17"/>
  <c r="A24" i="9" s="1"/>
  <c r="B485" i="17"/>
  <c r="B18" i="17"/>
  <c r="G5" i="19" s="1"/>
  <c r="B483" i="17"/>
  <c r="B484" i="17"/>
  <c r="B1" i="21" s="1"/>
  <c r="B487" i="17"/>
  <c r="B3" i="21" s="1"/>
  <c r="B486" i="17"/>
  <c r="D3" i="21" s="1"/>
  <c r="B482" i="17"/>
  <c r="B481" i="17"/>
  <c r="B19" i="17"/>
  <c r="G6" i="19" s="1"/>
  <c r="B480" i="17"/>
  <c r="D27" i="9" a="1"/>
  <c r="B479" i="17"/>
  <c r="F201" i="11"/>
  <c r="F202" i="11"/>
  <c r="F203" i="11"/>
  <c r="F204" i="11"/>
  <c r="F205" i="11"/>
  <c r="F206" i="11"/>
  <c r="F209" i="11"/>
  <c r="F210" i="11"/>
  <c r="F211" i="11"/>
  <c r="F212" i="11"/>
  <c r="F213" i="11"/>
  <c r="F215" i="11"/>
  <c r="F216" i="11"/>
  <c r="F218" i="11"/>
  <c r="F219" i="11"/>
  <c r="F221" i="11"/>
  <c r="F222" i="11"/>
  <c r="F223" i="11"/>
  <c r="F226" i="11"/>
  <c r="F227" i="11"/>
  <c r="F228" i="11"/>
  <c r="F229" i="11"/>
  <c r="F230" i="11"/>
  <c r="F232" i="11"/>
  <c r="F233" i="11"/>
  <c r="F235" i="11"/>
  <c r="F238" i="11"/>
  <c r="F239" i="11"/>
  <c r="F240" i="11"/>
  <c r="F242" i="11"/>
  <c r="F243" i="11"/>
  <c r="F244" i="11"/>
  <c r="F245" i="11"/>
  <c r="F247" i="11"/>
  <c r="F248" i="11"/>
  <c r="F249" i="11"/>
  <c r="F252" i="11"/>
  <c r="F253" i="11"/>
  <c r="F254" i="11"/>
  <c r="F256" i="11"/>
  <c r="F257" i="11"/>
  <c r="F258" i="11"/>
  <c r="D63" i="16"/>
  <c r="D53" i="16"/>
  <c r="D43" i="16"/>
  <c r="D37" i="16"/>
  <c r="D29" i="16"/>
  <c r="D26" i="16"/>
  <c r="D11" i="16"/>
  <c r="E222" i="11" l="1"/>
  <c r="E211" i="11"/>
  <c r="E233" i="11"/>
  <c r="E219" i="11"/>
  <c r="E216" i="11"/>
  <c r="E229" i="11"/>
  <c r="E220" i="11"/>
  <c r="E208" i="11"/>
  <c r="E221" i="11"/>
  <c r="E210" i="11"/>
  <c r="E209" i="11"/>
  <c r="E204" i="11"/>
  <c r="E213" i="11"/>
  <c r="E206" i="11"/>
  <c r="E230" i="11"/>
  <c r="E238" i="11"/>
  <c r="E239" i="11"/>
  <c r="E205" i="11"/>
  <c r="E235" i="11"/>
  <c r="E223" i="11"/>
  <c r="E212" i="11"/>
  <c r="E254" i="11"/>
  <c r="E256" i="11"/>
  <c r="E257" i="11"/>
  <c r="E258" i="11"/>
  <c r="E245" i="11"/>
  <c r="E247" i="11"/>
  <c r="E248" i="11"/>
  <c r="E249" i="11"/>
  <c r="E253" i="11"/>
  <c r="E251" i="11"/>
  <c r="E252" i="11"/>
  <c r="E243" i="11"/>
  <c r="E244" i="11"/>
  <c r="E241" i="11"/>
  <c r="E242" i="11"/>
  <c r="E231" i="11"/>
  <c r="E232" i="11"/>
  <c r="E227" i="11"/>
  <c r="E228" i="11"/>
  <c r="E226" i="11"/>
  <c r="E225" i="11"/>
  <c r="E217" i="11"/>
  <c r="E218" i="11"/>
  <c r="E214" i="11"/>
  <c r="E215" i="11"/>
  <c r="E202" i="11"/>
  <c r="E203" i="11"/>
  <c r="F292" i="3"/>
  <c r="E199" i="11"/>
  <c r="E201" i="11"/>
  <c r="F231" i="11"/>
  <c r="F225" i="11"/>
  <c r="F251" i="11"/>
  <c r="F199" i="11"/>
  <c r="F217" i="11"/>
  <c r="F208" i="11"/>
  <c r="F214" i="11"/>
  <c r="F241" i="11"/>
  <c r="F220" i="11"/>
  <c r="E136" i="3" l="1" a="1"/>
  <c r="E136" i="3" s="1"/>
  <c r="E137" i="3" a="1"/>
  <c r="E137" i="3" s="1"/>
  <c r="E175" i="3" a="1"/>
  <c r="E175" i="3" s="1"/>
  <c r="E135" i="3" a="1"/>
  <c r="E135" i="3" s="1"/>
  <c r="E174" i="3" a="1"/>
  <c r="E174" i="3" s="1"/>
  <c r="E173" i="3" a="1"/>
  <c r="E173" i="3" s="1"/>
  <c r="E148" i="3" a="1"/>
  <c r="E148" i="3" s="1"/>
  <c r="E147" i="3" a="1"/>
  <c r="E147" i="3" s="1"/>
  <c r="E145" i="3" a="1"/>
  <c r="E145" i="3" s="1"/>
  <c r="E151" i="3" a="1"/>
  <c r="E151" i="3" s="1"/>
  <c r="E150" i="3" a="1"/>
  <c r="E150" i="3" s="1"/>
  <c r="E168" i="3" a="1"/>
  <c r="E168" i="3" s="1"/>
  <c r="E167" i="3" a="1"/>
  <c r="E167" i="3" s="1"/>
  <c r="E138" i="3" a="1"/>
  <c r="E138" i="3" s="1"/>
  <c r="E159" i="3" a="1"/>
  <c r="E159" i="3" s="1"/>
  <c r="E172" i="3" a="1"/>
  <c r="E172" i="3" s="1"/>
  <c r="E161" i="3" a="1"/>
  <c r="E161" i="3" s="1"/>
  <c r="E171" i="3" a="1"/>
  <c r="E171" i="3" s="1"/>
  <c r="E170" i="3" a="1"/>
  <c r="E170" i="3" s="1"/>
  <c r="E169" i="3" a="1"/>
  <c r="E169" i="3" s="1"/>
  <c r="E134" i="3" a="1"/>
  <c r="E134" i="3" s="1"/>
  <c r="E133" i="3" a="1"/>
  <c r="E133" i="3" s="1"/>
  <c r="E163" i="3" a="1"/>
  <c r="E163" i="3" s="1"/>
  <c r="E129" i="3" a="1"/>
  <c r="E129" i="3" s="1"/>
  <c r="E127" i="3" a="1"/>
  <c r="E127" i="3" s="1"/>
  <c r="E132" i="3" a="1"/>
  <c r="E132" i="3" s="1"/>
  <c r="E130" i="3" a="1"/>
  <c r="E130" i="3" s="1"/>
  <c r="E131" i="3" a="1"/>
  <c r="E131" i="3" s="1"/>
  <c r="E128" i="3" a="1"/>
  <c r="E128" i="3" s="1"/>
  <c r="E165" i="3" a="1"/>
  <c r="E165" i="3" s="1"/>
  <c r="E139" i="3" a="1"/>
  <c r="E139" i="3" s="1"/>
  <c r="E144" i="3" a="1"/>
  <c r="E144" i="3" s="1"/>
  <c r="E142" i="3" a="1"/>
  <c r="E142" i="3" s="1"/>
  <c r="E143" i="3" a="1"/>
  <c r="E143" i="3" s="1"/>
  <c r="E176" i="3" a="1"/>
  <c r="E176" i="3" s="1"/>
  <c r="E154" i="3" a="1"/>
  <c r="E154" i="3" s="1"/>
  <c r="E156" i="3" a="1"/>
  <c r="E156" i="3" s="1"/>
  <c r="E141" i="3" a="1"/>
  <c r="E141" i="3" s="1"/>
  <c r="E140" i="3" a="1"/>
  <c r="E140" i="3" s="1"/>
  <c r="E153" i="3" a="1"/>
  <c r="E153" i="3" s="1"/>
  <c r="E158" i="3" a="1"/>
  <c r="E158" i="3" s="1"/>
  <c r="E157" i="3" a="1"/>
  <c r="E157" i="3" s="1"/>
  <c r="E162" i="3" a="1"/>
  <c r="E162" i="3" s="1"/>
  <c r="E149" i="3" a="1"/>
  <c r="E149" i="3" s="1"/>
  <c r="E152" i="3" a="1"/>
  <c r="E152" i="3" s="1"/>
  <c r="E160" i="3" a="1"/>
  <c r="E160" i="3" s="1"/>
  <c r="E166" i="3" a="1"/>
  <c r="E166" i="3" s="1"/>
  <c r="E164" i="3" a="1"/>
  <c r="E164" i="3" s="1"/>
  <c r="E146" i="3" a="1"/>
  <c r="E146" i="3" s="1"/>
  <c r="E155" i="3" a="1"/>
  <c r="E155" i="3" s="1"/>
  <c r="E259" i="11"/>
  <c r="E126" i="3" s="1" a="1"/>
  <c r="E126" i="3" s="1"/>
  <c r="D142" i="12"/>
  <c r="D143" i="12" s="1"/>
  <c r="P16" i="8" l="1"/>
  <c r="H523" i="3" l="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G536" i="1" l="1"/>
  <c r="G535" i="1"/>
  <c r="M325" i="1" l="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324" i="1"/>
  <c r="I32" i="12" l="1"/>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L325"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I429" i="3"/>
  <c r="I430" i="3"/>
  <c r="I431" i="3"/>
  <c r="I432" i="3"/>
  <c r="I433" i="3"/>
  <c r="I434" i="3"/>
  <c r="I435" i="3"/>
  <c r="I436" i="3"/>
  <c r="I437" i="3"/>
  <c r="I438" i="3"/>
  <c r="I439" i="3"/>
  <c r="I440" i="3"/>
  <c r="I441" i="3"/>
  <c r="I442" i="3"/>
  <c r="I443" i="3"/>
  <c r="I444" i="3"/>
  <c r="I445" i="3"/>
  <c r="I446" i="3"/>
  <c r="I447" i="3"/>
  <c r="I448" i="3"/>
  <c r="I449" i="3"/>
  <c r="I450" i="3"/>
  <c r="I451" i="3"/>
  <c r="I452" i="3"/>
  <c r="I453" i="3"/>
  <c r="I454" i="3"/>
  <c r="I455" i="3"/>
  <c r="I456" i="3"/>
  <c r="I457" i="3"/>
  <c r="I458" i="3"/>
  <c r="I459" i="3"/>
  <c r="I460" i="3"/>
  <c r="I461" i="3"/>
  <c r="I462" i="3"/>
  <c r="I463" i="3"/>
  <c r="I464" i="3"/>
  <c r="I465" i="3"/>
  <c r="I466" i="3"/>
  <c r="I467" i="3"/>
  <c r="I468" i="3"/>
  <c r="I469" i="3"/>
  <c r="I470" i="3"/>
  <c r="I471" i="3"/>
  <c r="I472" i="3"/>
  <c r="I473" i="3"/>
  <c r="I474" i="3"/>
  <c r="I475" i="3"/>
  <c r="I476" i="3"/>
  <c r="I477" i="3"/>
  <c r="I478" i="3"/>
  <c r="I479" i="3"/>
  <c r="I480" i="3"/>
  <c r="I481" i="3"/>
  <c r="I482" i="3"/>
  <c r="I483" i="3"/>
  <c r="I484" i="3"/>
  <c r="I485" i="3"/>
  <c r="I486" i="3"/>
  <c r="I487" i="3"/>
  <c r="I488" i="3"/>
  <c r="I489" i="3"/>
  <c r="I490" i="3"/>
  <c r="I491" i="3"/>
  <c r="I492" i="3"/>
  <c r="I493" i="3"/>
  <c r="I494" i="3"/>
  <c r="I495" i="3"/>
  <c r="I496" i="3"/>
  <c r="I497" i="3"/>
  <c r="I498" i="3"/>
  <c r="I499" i="3"/>
  <c r="I500" i="3"/>
  <c r="I501" i="3"/>
  <c r="I502" i="3"/>
  <c r="I503" i="3"/>
  <c r="I504" i="3"/>
  <c r="I505" i="3"/>
  <c r="I38" i="7" l="1"/>
  <c r="I12" i="7"/>
  <c r="I200" i="12"/>
  <c r="I194" i="12"/>
  <c r="I192" i="12"/>
  <c r="I191" i="12"/>
  <c r="I186" i="12" a="1"/>
  <c r="M548" i="1"/>
  <c r="L544" i="1"/>
  <c r="L543" i="1"/>
  <c r="L542" i="1"/>
  <c r="L541" i="1"/>
  <c r="L540" i="1"/>
  <c r="K438" i="1"/>
  <c r="K439" i="1"/>
  <c r="K440" i="1"/>
  <c r="K441" i="1"/>
  <c r="K442" i="1"/>
  <c r="K443" i="1"/>
  <c r="K444" i="1"/>
  <c r="K445" i="1"/>
  <c r="K446" i="1"/>
  <c r="K447" i="1"/>
  <c r="K437" i="1"/>
  <c r="K436" i="1"/>
  <c r="H317" i="1" l="1"/>
  <c r="L83" i="1"/>
  <c r="L84" i="1"/>
  <c r="L85" i="1"/>
  <c r="L86" i="1"/>
  <c r="L87" i="1"/>
  <c r="L88" i="1"/>
  <c r="L89" i="1"/>
  <c r="L82" i="1"/>
  <c r="L76" i="1"/>
  <c r="L59" i="1"/>
  <c r="L58" i="1"/>
  <c r="L24" i="1"/>
  <c r="I397" i="3"/>
  <c r="B471" i="17" l="1"/>
  <c r="G126" i="3" s="1"/>
  <c r="B477" i="17"/>
  <c r="B3" i="4" s="1" a="1"/>
  <c r="B85" i="17"/>
  <c r="T19" i="6" s="1"/>
  <c r="B476" i="17"/>
  <c r="B118" i="17"/>
  <c r="B13" i="16" s="1"/>
  <c r="B54" i="17"/>
  <c r="D3" i="16" s="1"/>
  <c r="B72" i="17"/>
  <c r="B48" i="17"/>
  <c r="B35" i="4" s="1"/>
  <c r="B49" i="17"/>
  <c r="C35" i="4" s="1"/>
  <c r="B78" i="17"/>
  <c r="B76" i="17"/>
  <c r="B474" i="17"/>
  <c r="B475" i="17"/>
  <c r="A183" i="12" s="1"/>
  <c r="B455" i="17"/>
  <c r="B473" i="17"/>
  <c r="A520" i="3" s="1"/>
  <c r="B284" i="17"/>
  <c r="B27" i="9" s="1" a="1"/>
  <c r="B57" i="17"/>
  <c r="D2" i="16" s="1"/>
  <c r="B22" i="17"/>
  <c r="B12" i="4" s="1"/>
  <c r="B472" i="17"/>
  <c r="A21" i="1" s="1"/>
  <c r="B311" i="17"/>
  <c r="C27" i="12" s="1"/>
  <c r="B20" i="17"/>
  <c r="B11" i="4" s="1"/>
  <c r="B467" i="17"/>
  <c r="M188" i="1" s="1"/>
  <c r="B392" i="17"/>
  <c r="B406" i="17"/>
  <c r="B419" i="17"/>
  <c r="B435" i="17"/>
  <c r="B450" i="17"/>
  <c r="B362" i="17"/>
  <c r="B375" i="17"/>
  <c r="B17" i="17"/>
  <c r="B34" i="17"/>
  <c r="B50" i="17"/>
  <c r="C36" i="4" s="1"/>
  <c r="B83" i="17"/>
  <c r="T17" i="6" s="1"/>
  <c r="B90" i="17"/>
  <c r="B1" i="3" s="1"/>
  <c r="B102" i="17"/>
  <c r="B115" i="17"/>
  <c r="B129" i="17"/>
  <c r="B140" i="17"/>
  <c r="B153" i="17"/>
  <c r="B165" i="17"/>
  <c r="B177" i="17"/>
  <c r="B189" i="17"/>
  <c r="B203" i="17"/>
  <c r="B217" i="17"/>
  <c r="B229" i="17"/>
  <c r="B254" i="17"/>
  <c r="B265" i="17"/>
  <c r="B278" i="17"/>
  <c r="B290" i="17"/>
  <c r="B302" i="17"/>
  <c r="B314" i="17"/>
  <c r="B326" i="17"/>
  <c r="B350" i="17"/>
  <c r="B10" i="17"/>
  <c r="B465" i="17"/>
  <c r="M14" i="1" s="1"/>
  <c r="B397" i="17"/>
  <c r="J10" i="8" s="1"/>
  <c r="B411" i="17"/>
  <c r="B424" i="17"/>
  <c r="B440" i="17"/>
  <c r="B456" i="17"/>
  <c r="B367" i="17"/>
  <c r="B379" i="17"/>
  <c r="B25" i="17"/>
  <c r="B39" i="17"/>
  <c r="B55" i="17"/>
  <c r="B94" i="17"/>
  <c r="B107" i="17"/>
  <c r="B120" i="17"/>
  <c r="C126" i="3" s="1"/>
  <c r="B133" i="17"/>
  <c r="B158" i="17"/>
  <c r="B169" i="17"/>
  <c r="B181" i="17"/>
  <c r="B194" i="17"/>
  <c r="B208" i="17"/>
  <c r="B220" i="17"/>
  <c r="B233" i="17"/>
  <c r="B246" i="17"/>
  <c r="B258" i="17"/>
  <c r="B269" i="17"/>
  <c r="B282" i="17"/>
  <c r="C433" i="1" s="1"/>
  <c r="B295" i="17"/>
  <c r="B68" i="16" s="1"/>
  <c r="B306" i="17"/>
  <c r="B318" i="17"/>
  <c r="B330" i="17"/>
  <c r="B45" i="16" s="1"/>
  <c r="B342" i="17"/>
  <c r="B355" i="17"/>
  <c r="B4" i="17"/>
  <c r="B464" i="17"/>
  <c r="L406" i="3" s="1"/>
  <c r="B386" i="17"/>
  <c r="B400" i="17"/>
  <c r="B413" i="17"/>
  <c r="B429" i="17"/>
  <c r="B444" i="17"/>
  <c r="B370" i="17"/>
  <c r="B382" i="17"/>
  <c r="B28" i="17"/>
  <c r="B42" i="17"/>
  <c r="B59" i="17"/>
  <c r="B97" i="17"/>
  <c r="B110" i="17"/>
  <c r="B123" i="17"/>
  <c r="B135" i="17"/>
  <c r="B15" i="16" s="1"/>
  <c r="B147" i="17"/>
  <c r="B160" i="17"/>
  <c r="B18" i="16" s="1"/>
  <c r="B184" i="17"/>
  <c r="B197" i="17"/>
  <c r="B211" i="17"/>
  <c r="B223" i="17"/>
  <c r="B236" i="17"/>
  <c r="B249" i="17"/>
  <c r="B260" i="17"/>
  <c r="B31" i="16" s="1"/>
  <c r="B272" i="17"/>
  <c r="B285" i="17"/>
  <c r="B297" i="17"/>
  <c r="B321" i="17"/>
  <c r="B332" i="17"/>
  <c r="B345" i="17"/>
  <c r="B15" i="17"/>
  <c r="B387" i="17"/>
  <c r="B401" i="17"/>
  <c r="B414" i="17"/>
  <c r="B430" i="17"/>
  <c r="B445" i="17"/>
  <c r="B358" i="17"/>
  <c r="B383" i="17"/>
  <c r="B29" i="17"/>
  <c r="B43" i="17"/>
  <c r="B60" i="17"/>
  <c r="B98" i="17"/>
  <c r="B111" i="17"/>
  <c r="B124" i="17"/>
  <c r="B136" i="17"/>
  <c r="C396" i="3" s="1"/>
  <c r="B148" i="17"/>
  <c r="B161" i="17"/>
  <c r="B172" i="17"/>
  <c r="B185" i="17"/>
  <c r="B198" i="17"/>
  <c r="B212" i="17"/>
  <c r="B224" i="17"/>
  <c r="B237" i="17"/>
  <c r="B261" i="17"/>
  <c r="B273" i="17"/>
  <c r="B286" i="17"/>
  <c r="B309" i="17"/>
  <c r="B40" i="16" s="1"/>
  <c r="B322" i="17"/>
  <c r="B333" i="17"/>
  <c r="B346" i="17"/>
  <c r="B5" i="17"/>
  <c r="B388" i="17"/>
  <c r="B402" i="17"/>
  <c r="B415" i="17"/>
  <c r="B431" i="17"/>
  <c r="B446" i="17"/>
  <c r="B359" i="17"/>
  <c r="B371" i="17"/>
  <c r="B65" i="16" s="1"/>
  <c r="B30" i="17"/>
  <c r="B44" i="17"/>
  <c r="B61" i="17"/>
  <c r="B99" i="17"/>
  <c r="B112" i="17"/>
  <c r="B125" i="17"/>
  <c r="B137" i="17"/>
  <c r="B149" i="17"/>
  <c r="O510" i="3" s="1"/>
  <c r="B162" i="17"/>
  <c r="B173" i="17"/>
  <c r="B199" i="17"/>
  <c r="B213" i="17"/>
  <c r="B225" i="17"/>
  <c r="B238" i="17"/>
  <c r="B250" i="17"/>
  <c r="B28" i="16" s="1"/>
  <c r="B262" i="17"/>
  <c r="B274" i="17"/>
  <c r="B287" i="17"/>
  <c r="B298" i="17"/>
  <c r="B38" i="16" s="1"/>
  <c r="B310" i="17"/>
  <c r="B334" i="17"/>
  <c r="B347" i="17"/>
  <c r="B6" i="17"/>
  <c r="B393" i="17"/>
  <c r="B437" i="17"/>
  <c r="B360" i="17"/>
  <c r="B378" i="17"/>
  <c r="B32" i="17"/>
  <c r="B91" i="17"/>
  <c r="B109" i="17"/>
  <c r="B150" i="17"/>
  <c r="B187" i="17"/>
  <c r="B54" i="16" s="1"/>
  <c r="B207" i="17"/>
  <c r="B228" i="17"/>
  <c r="B247" i="17"/>
  <c r="B266" i="17"/>
  <c r="B303" i="17"/>
  <c r="B39" i="16" s="1"/>
  <c r="B323" i="17"/>
  <c r="B44" i="16" s="1"/>
  <c r="B340" i="17"/>
  <c r="B8" i="17"/>
  <c r="B463" i="17"/>
  <c r="G182" i="3" s="1"/>
  <c r="B394" i="17"/>
  <c r="B416" i="17"/>
  <c r="B438" i="17"/>
  <c r="B33" i="17"/>
  <c r="B56" i="17"/>
  <c r="B92" i="17"/>
  <c r="B131" i="17"/>
  <c r="B14" i="16" s="1"/>
  <c r="B151" i="17"/>
  <c r="B168" i="17"/>
  <c r="B188" i="17"/>
  <c r="B209" i="17"/>
  <c r="B230" i="17"/>
  <c r="B248" i="17"/>
  <c r="B304" i="17"/>
  <c r="B324" i="17"/>
  <c r="B341" i="17"/>
  <c r="B9" i="17"/>
  <c r="B469" i="17"/>
  <c r="B461" i="17"/>
  <c r="B399" i="17"/>
  <c r="B421" i="17"/>
  <c r="B447" i="17"/>
  <c r="B365" i="17"/>
  <c r="B357" i="17"/>
  <c r="B38" i="17"/>
  <c r="B84" i="17"/>
  <c r="T18" i="6" s="1"/>
  <c r="B96" i="17"/>
  <c r="B156" i="17"/>
  <c r="B193" i="17"/>
  <c r="B216" i="17"/>
  <c r="B234" i="17"/>
  <c r="B255" i="17"/>
  <c r="B271" i="17"/>
  <c r="B292" i="17"/>
  <c r="B329" i="17"/>
  <c r="B14" i="17"/>
  <c r="B460" i="17"/>
  <c r="B405" i="17"/>
  <c r="B425" i="17"/>
  <c r="B451" i="17"/>
  <c r="B369" i="17"/>
  <c r="B21" i="17"/>
  <c r="C11" i="4" s="1"/>
  <c r="B45" i="17"/>
  <c r="B101" i="17"/>
  <c r="B121" i="17"/>
  <c r="B141" i="17"/>
  <c r="F402" i="3" s="1"/>
  <c r="B178" i="17"/>
  <c r="B22" i="16" s="1"/>
  <c r="B200" i="17"/>
  <c r="B240" i="17"/>
  <c r="B257" i="17"/>
  <c r="B30" i="16" s="1"/>
  <c r="B277" i="17"/>
  <c r="B315" i="17"/>
  <c r="B352" i="17"/>
  <c r="B470" i="17"/>
  <c r="J141" i="12" s="1"/>
  <c r="B410" i="17"/>
  <c r="B442" i="17"/>
  <c r="B373" i="17"/>
  <c r="B35" i="17"/>
  <c r="B95" i="17"/>
  <c r="B126" i="17"/>
  <c r="B152" i="17"/>
  <c r="F511" i="3" s="1"/>
  <c r="B205" i="17"/>
  <c r="B232" i="17"/>
  <c r="B288" i="17"/>
  <c r="B313" i="17"/>
  <c r="B338" i="17"/>
  <c r="B13" i="17"/>
  <c r="B391" i="17"/>
  <c r="B422" i="17"/>
  <c r="B454" i="17"/>
  <c r="C7" i="16" s="1"/>
  <c r="B381" i="17"/>
  <c r="B46" i="17"/>
  <c r="B105" i="17"/>
  <c r="B134" i="17"/>
  <c r="B163" i="17"/>
  <c r="B186" i="17"/>
  <c r="B23" i="16" s="1"/>
  <c r="B243" i="17"/>
  <c r="B268" i="17"/>
  <c r="B296" i="17"/>
  <c r="B320" i="17"/>
  <c r="B349" i="17"/>
  <c r="B398" i="17"/>
  <c r="B432" i="17"/>
  <c r="B361" i="17"/>
  <c r="B64" i="16" s="1"/>
  <c r="B52" i="17"/>
  <c r="B88" i="17"/>
  <c r="B113" i="17"/>
  <c r="B139" i="17"/>
  <c r="B166" i="17"/>
  <c r="B192" i="17"/>
  <c r="B221" i="17"/>
  <c r="B251" i="17"/>
  <c r="B276" i="17"/>
  <c r="B301" i="17"/>
  <c r="B328" i="17"/>
  <c r="B354" i="17"/>
  <c r="B403" i="17"/>
  <c r="B433" i="17"/>
  <c r="B363" i="17"/>
  <c r="B23" i="17"/>
  <c r="C12" i="4" s="1"/>
  <c r="B53" i="17"/>
  <c r="B114" i="17"/>
  <c r="B142" i="17"/>
  <c r="B167" i="17"/>
  <c r="B195" i="17"/>
  <c r="B222" i="17"/>
  <c r="B252" i="17"/>
  <c r="B279" i="17"/>
  <c r="B395" i="17"/>
  <c r="B439" i="17"/>
  <c r="B377" i="17"/>
  <c r="B58" i="17"/>
  <c r="B3" i="16" s="1"/>
  <c r="B106" i="17"/>
  <c r="B145" i="17"/>
  <c r="B17" i="16" s="1"/>
  <c r="B182" i="17"/>
  <c r="B226" i="17"/>
  <c r="B263" i="17"/>
  <c r="B299" i="17"/>
  <c r="B336" i="17"/>
  <c r="B396" i="17"/>
  <c r="B441" i="17"/>
  <c r="B380" i="17"/>
  <c r="B62" i="17"/>
  <c r="B108" i="17"/>
  <c r="B146" i="17"/>
  <c r="B183" i="17"/>
  <c r="B227" i="17"/>
  <c r="B24" i="16" s="1"/>
  <c r="B300" i="17"/>
  <c r="B337" i="17"/>
  <c r="B466" i="17"/>
  <c r="M30" i="1" s="1"/>
  <c r="B409" i="17"/>
  <c r="B453" i="17"/>
  <c r="B26" i="17"/>
  <c r="B87" i="17"/>
  <c r="T21" i="6" s="1"/>
  <c r="B122" i="17"/>
  <c r="B159" i="17"/>
  <c r="B201" i="17"/>
  <c r="B239" i="17"/>
  <c r="B275" i="17"/>
  <c r="B312" i="17"/>
  <c r="B41" i="16" s="1"/>
  <c r="B348" i="17"/>
  <c r="B418" i="17"/>
  <c r="B364" i="17"/>
  <c r="B36" i="17"/>
  <c r="C27" i="4" s="1"/>
  <c r="B93" i="17"/>
  <c r="B130" i="17"/>
  <c r="B170" i="17"/>
  <c r="B206" i="17"/>
  <c r="B244" i="17"/>
  <c r="B281" i="17"/>
  <c r="B35" i="16" s="1"/>
  <c r="B317" i="17"/>
  <c r="B356" i="17"/>
  <c r="B69" i="16" s="1"/>
  <c r="B468" i="17"/>
  <c r="N323" i="1" s="1"/>
  <c r="B417" i="17"/>
  <c r="B374" i="17"/>
  <c r="B100" i="17"/>
  <c r="B154" i="17"/>
  <c r="B204" i="17"/>
  <c r="B308" i="17"/>
  <c r="B11" i="17"/>
  <c r="B434" i="17"/>
  <c r="B24" i="17"/>
  <c r="B116" i="17"/>
  <c r="B164" i="17"/>
  <c r="B218" i="17"/>
  <c r="B55" i="16" s="1"/>
  <c r="B270" i="17"/>
  <c r="B325" i="17"/>
  <c r="B385" i="17"/>
  <c r="B449" i="17"/>
  <c r="B37" i="17"/>
  <c r="B127" i="17"/>
  <c r="B176" i="17"/>
  <c r="B21" i="16" s="1"/>
  <c r="B283" i="17"/>
  <c r="B335" i="17"/>
  <c r="B389" i="17"/>
  <c r="B452" i="17"/>
  <c r="B40" i="17"/>
  <c r="B128" i="17"/>
  <c r="B179" i="17"/>
  <c r="B235" i="17"/>
  <c r="B289" i="17"/>
  <c r="B339" i="17"/>
  <c r="B390" i="17"/>
  <c r="B457" i="17"/>
  <c r="B41" i="17"/>
  <c r="B82" i="17"/>
  <c r="T16" i="6" s="1"/>
  <c r="B132" i="17"/>
  <c r="B180" i="17"/>
  <c r="B241" i="17"/>
  <c r="B291" i="17"/>
  <c r="B343" i="17"/>
  <c r="B372" i="17"/>
  <c r="B155" i="17"/>
  <c r="B242" i="17"/>
  <c r="B27" i="16" s="1"/>
  <c r="B407" i="17"/>
  <c r="B16" i="17"/>
  <c r="B89" i="17"/>
  <c r="A1" i="3" s="1"/>
  <c r="B171" i="17"/>
  <c r="B256" i="17"/>
  <c r="B331" i="17"/>
  <c r="B408" i="17"/>
  <c r="B27" i="17"/>
  <c r="B175" i="17"/>
  <c r="B7" i="16" s="1"/>
  <c r="B259" i="17"/>
  <c r="B344" i="17"/>
  <c r="B459" i="17"/>
  <c r="G4" i="3" s="1"/>
  <c r="B47" i="17"/>
  <c r="B119" i="17"/>
  <c r="B219" i="17"/>
  <c r="B56" i="16" s="1"/>
  <c r="B327" i="17"/>
  <c r="B420" i="17"/>
  <c r="B143" i="17"/>
  <c r="B253" i="17"/>
  <c r="B7" i="17"/>
  <c r="B423" i="17"/>
  <c r="B144" i="17"/>
  <c r="B264" i="17"/>
  <c r="B33" i="16" s="1"/>
  <c r="B12" i="17"/>
  <c r="B384" i="17"/>
  <c r="B70" i="16" s="1"/>
  <c r="B138" i="17"/>
  <c r="B16" i="16" s="1"/>
  <c r="B404" i="17"/>
  <c r="B196" i="17"/>
  <c r="B316" i="17"/>
  <c r="B412" i="17"/>
  <c r="B202" i="17"/>
  <c r="B319" i="17"/>
  <c r="B436" i="17"/>
  <c r="B214" i="17"/>
  <c r="B353" i="17"/>
  <c r="B458" i="17"/>
  <c r="B448" i="17"/>
  <c r="B215" i="17"/>
  <c r="B103" i="17"/>
  <c r="B231" i="17"/>
  <c r="B117" i="17"/>
  <c r="B351" i="17"/>
  <c r="B462" i="17"/>
  <c r="B157" i="17"/>
  <c r="B366" i="17"/>
  <c r="B191" i="17"/>
  <c r="B368" i="17"/>
  <c r="B210" i="17"/>
  <c r="B31" i="17"/>
  <c r="B267" i="17"/>
  <c r="B34" i="16" s="1"/>
  <c r="B51" i="17"/>
  <c r="B280" i="17"/>
  <c r="B426" i="17"/>
  <c r="B376" i="17"/>
  <c r="B63" i="17"/>
  <c r="B307" i="17"/>
  <c r="B86" i="17"/>
  <c r="T20" i="6" s="1"/>
  <c r="B104" i="17"/>
  <c r="B190" i="17"/>
  <c r="B305" i="17"/>
  <c r="B245" i="17"/>
  <c r="B293" i="17"/>
  <c r="B294" i="17"/>
  <c r="C4" i="12" l="1"/>
  <c r="C125" i="3"/>
  <c r="F5" i="3"/>
  <c r="F10" i="3"/>
  <c r="F6" i="3" s="1"/>
  <c r="F4" i="3"/>
  <c r="F3" i="3"/>
  <c r="M323" i="1"/>
  <c r="F284" i="3"/>
  <c r="F282" i="3"/>
  <c r="F179" i="3"/>
  <c r="F283" i="3"/>
  <c r="F286" i="3"/>
  <c r="F285" i="3"/>
  <c r="F287" i="3"/>
  <c r="F180" i="3"/>
  <c r="H531" i="3"/>
  <c r="F182" i="3"/>
  <c r="F125" i="3"/>
  <c r="C21" i="9"/>
  <c r="C27" i="9"/>
  <c r="A21" i="9"/>
  <c r="A27" i="9"/>
  <c r="C15" i="16"/>
  <c r="E15" i="16" s="1"/>
  <c r="M423" i="1" a="1"/>
  <c r="H529" i="3"/>
  <c r="H528" i="3"/>
  <c r="H527" i="3"/>
  <c r="G293" i="1"/>
  <c r="G295" i="1" s="1"/>
  <c r="I165" i="12"/>
  <c r="I174" i="12"/>
  <c r="I180" i="12"/>
  <c r="I169" i="12"/>
  <c r="I31" i="7"/>
  <c r="I168" i="12"/>
  <c r="I7" i="7"/>
  <c r="I32" i="7"/>
  <c r="I166" i="12"/>
  <c r="I6" i="7"/>
  <c r="E518" i="3"/>
  <c r="D114" i="11" s="1"/>
  <c r="E517" i="3"/>
  <c r="D113" i="11" s="1"/>
  <c r="C14" i="16"/>
  <c r="E14" i="16" s="1"/>
  <c r="E310" i="1"/>
  <c r="C31" i="16" s="1"/>
  <c r="E31" i="16" s="1"/>
  <c r="L186" i="1"/>
  <c r="E516" i="3"/>
  <c r="D112" i="11" s="1"/>
  <c r="P512" i="3"/>
  <c r="C17" i="16" s="1"/>
  <c r="E17" i="16" s="1"/>
  <c r="L52" i="1"/>
  <c r="C55" i="16" s="1"/>
  <c r="E55" i="16" s="1"/>
  <c r="L30" i="1" a="1"/>
  <c r="L21" i="1"/>
  <c r="L81" i="1"/>
  <c r="B12" i="16"/>
  <c r="C64" i="16"/>
  <c r="E64" i="16" s="1"/>
  <c r="C70" i="16"/>
  <c r="E70" i="16" s="1"/>
  <c r="C69" i="16"/>
  <c r="E69" i="16" s="1"/>
  <c r="C68" i="16"/>
  <c r="E68" i="16" s="1"/>
  <c r="E7" i="16"/>
  <c r="C57" i="16"/>
  <c r="E57" i="16" s="1" a="1"/>
  <c r="A55" i="1"/>
  <c r="C2" i="16"/>
  <c r="G9" i="8"/>
  <c r="K435" i="1"/>
  <c r="C35" i="16" s="1"/>
  <c r="E35" i="16" s="1"/>
  <c r="I193" i="12"/>
  <c r="I184" i="12"/>
  <c r="I181" i="12"/>
  <c r="I172" i="12"/>
  <c r="I140" i="12"/>
  <c r="I144" i="12"/>
  <c r="C8" i="16"/>
  <c r="J29" i="12"/>
  <c r="I18" i="12"/>
  <c r="G6" i="3"/>
  <c r="G10" i="3"/>
  <c r="J190" i="12"/>
  <c r="J179" i="12"/>
  <c r="G180" i="3"/>
  <c r="G22" i="3"/>
  <c r="L437" i="1"/>
  <c r="N325" i="1"/>
  <c r="G292" i="3"/>
  <c r="M190" i="1"/>
  <c r="M82" i="1"/>
  <c r="L408" i="3"/>
  <c r="J31" i="12"/>
  <c r="F112" i="11" l="1"/>
  <c r="E112" i="11"/>
  <c r="F113" i="11"/>
  <c r="E113" i="11"/>
  <c r="F114" i="11"/>
  <c r="E114" i="11"/>
  <c r="G114" i="11" s="1"/>
  <c r="C51" i="16"/>
  <c r="C18" i="16" a="1"/>
  <c r="C59" i="16"/>
  <c r="E59" i="16" s="1"/>
  <c r="C54" i="16"/>
  <c r="E54" i="16" s="1"/>
  <c r="C47" i="16"/>
  <c r="E47" i="16" s="1"/>
  <c r="C66" i="16"/>
  <c r="E66" i="16" s="1"/>
  <c r="C41" i="16"/>
  <c r="E41" i="16" s="1"/>
  <c r="C12" i="16"/>
  <c r="C60" i="16"/>
  <c r="E60" i="16" s="1"/>
  <c r="C50" i="16"/>
  <c r="E50" i="16" s="1"/>
  <c r="AZ17" i="8"/>
  <c r="AZ16" i="8"/>
  <c r="AZ10" i="8"/>
  <c r="AZ12" i="8" s="1"/>
  <c r="E19" i="8" s="1"/>
  <c r="AV10" i="8"/>
  <c r="AV12" i="8" s="1"/>
  <c r="E18" i="8" s="1"/>
  <c r="AV17" i="8"/>
  <c r="AV16" i="8"/>
  <c r="AR10" i="8"/>
  <c r="AR12" i="8" s="1"/>
  <c r="E17" i="8" s="1"/>
  <c r="AR17" i="8"/>
  <c r="AN17" i="8"/>
  <c r="AR16" i="8"/>
  <c r="AN10" i="8"/>
  <c r="AN12" i="8" s="1"/>
  <c r="E16" i="8" s="1"/>
  <c r="AN16" i="8"/>
  <c r="AJ10" i="8"/>
  <c r="AJ12" i="8" s="1"/>
  <c r="E15" i="8" s="1"/>
  <c r="AJ17" i="8"/>
  <c r="AJ16" i="8"/>
  <c r="AF10" i="8"/>
  <c r="AF12" i="8" s="1"/>
  <c r="E14" i="8" s="1"/>
  <c r="AF17" i="8"/>
  <c r="AF16" i="8"/>
  <c r="AB10" i="8"/>
  <c r="AB12" i="8" s="1"/>
  <c r="E13" i="8" s="1"/>
  <c r="AB17" i="8"/>
  <c r="AB16" i="8"/>
  <c r="X10" i="8"/>
  <c r="X17" i="8"/>
  <c r="X16" i="8"/>
  <c r="T16" i="8"/>
  <c r="T10" i="8"/>
  <c r="S18" i="8" s="1"/>
  <c r="T17" i="8"/>
  <c r="G113" i="11" l="1"/>
  <c r="G112" i="11"/>
  <c r="E303" i="1"/>
  <c r="E304" i="1"/>
  <c r="T12" i="8"/>
  <c r="E11" i="8" s="1"/>
  <c r="X11" i="8"/>
  <c r="W18" i="8"/>
  <c r="AJ11" i="8"/>
  <c r="X12" i="8"/>
  <c r="E12" i="8" s="1"/>
  <c r="AR11" i="8"/>
  <c r="T11" i="8"/>
  <c r="AB11" i="8"/>
  <c r="AZ11" i="8"/>
  <c r="AV11" i="8"/>
  <c r="AN11" i="8"/>
  <c r="AF11" i="8"/>
  <c r="D14" i="8" s="1"/>
  <c r="C30" i="16" l="1"/>
  <c r="E30" i="16" s="1"/>
  <c r="I151" i="12"/>
  <c r="I157" i="12"/>
  <c r="C45" i="16" s="1"/>
  <c r="E45" i="16" s="1"/>
  <c r="I147" i="12"/>
  <c r="D13" i="8"/>
  <c r="D11" i="8"/>
  <c r="D17" i="8"/>
  <c r="D16" i="8"/>
  <c r="D19" i="8"/>
  <c r="D15" i="8"/>
  <c r="D18" i="8"/>
  <c r="D12" i="8"/>
  <c r="P10" i="8"/>
  <c r="O18" i="8" s="1"/>
  <c r="P17" i="8"/>
  <c r="P18" i="8" s="1"/>
  <c r="C44" i="16" l="1"/>
  <c r="E44" i="16" s="1"/>
  <c r="P12" i="8"/>
  <c r="E10" i="8" s="1"/>
  <c r="P11" i="8"/>
  <c r="D10" i="8" s="1"/>
  <c r="C43" i="16" l="1"/>
  <c r="Q16" i="8"/>
  <c r="O19" i="8"/>
  <c r="O20" i="8" s="1"/>
  <c r="O21" i="8" s="1"/>
  <c r="D9" i="3"/>
  <c r="B2" i="11" s="1"/>
  <c r="D62" i="1"/>
  <c r="D13" i="3"/>
  <c r="B3" i="11" s="1"/>
  <c r="C15" i="3" l="1"/>
  <c r="C520" i="3"/>
  <c r="C526" i="3"/>
  <c r="C178" i="3"/>
  <c r="C124" i="3"/>
  <c r="C139" i="12"/>
  <c r="O23" i="8"/>
  <c r="A16" i="9"/>
  <c r="A1" i="9"/>
  <c r="G13" i="9"/>
  <c r="A4" i="9"/>
  <c r="G18" i="9"/>
  <c r="A8" i="9"/>
  <c r="A20" i="9"/>
  <c r="A12" i="9"/>
  <c r="G21" i="9"/>
  <c r="G4" i="9"/>
  <c r="G24" i="9"/>
  <c r="G5" i="9"/>
  <c r="G31" i="9"/>
  <c r="G6" i="9"/>
  <c r="G7" i="9"/>
  <c r="G8" i="9"/>
  <c r="G9" i="9"/>
  <c r="G10" i="9"/>
  <c r="G12" i="9"/>
  <c r="A5" i="8"/>
  <c r="A39" i="8"/>
  <c r="A48" i="8"/>
  <c r="J12" i="8"/>
  <c r="A43" i="8"/>
  <c r="A40" i="8"/>
  <c r="J9" i="8"/>
  <c r="J13" i="8"/>
  <c r="A2" i="8"/>
  <c r="A9" i="8"/>
  <c r="A28" i="8"/>
  <c r="J19" i="8"/>
  <c r="D9" i="8"/>
  <c r="A44" i="8"/>
  <c r="J17" i="8"/>
  <c r="A46" i="8"/>
  <c r="A31" i="8"/>
  <c r="A23" i="8"/>
  <c r="F9" i="8"/>
  <c r="E9" i="8"/>
  <c r="C9" i="8"/>
  <c r="J16" i="8"/>
  <c r="B31" i="8"/>
  <c r="A4" i="8"/>
  <c r="A36" i="8"/>
  <c r="A1" i="8"/>
  <c r="J14" i="8"/>
  <c r="J11" i="8"/>
  <c r="A3" i="8"/>
  <c r="A37" i="8"/>
  <c r="B6" i="8"/>
  <c r="A42" i="8"/>
  <c r="A47" i="8"/>
  <c r="J18" i="8"/>
  <c r="J15" i="8"/>
  <c r="C178" i="12"/>
  <c r="B1" i="4"/>
  <c r="B33" i="4"/>
  <c r="B14" i="4"/>
  <c r="B28" i="4"/>
  <c r="B44" i="4"/>
  <c r="B17" i="4"/>
  <c r="C28" i="4"/>
  <c r="B18" i="4"/>
  <c r="B29" i="4"/>
  <c r="B19" i="4"/>
  <c r="C29" i="4"/>
  <c r="B43" i="4"/>
  <c r="B20" i="4"/>
  <c r="B21" i="4"/>
  <c r="C31" i="4"/>
  <c r="B24" i="4"/>
  <c r="B10" i="4"/>
  <c r="C37" i="4"/>
  <c r="B13" i="4"/>
  <c r="B22" i="4"/>
  <c r="C32" i="4"/>
  <c r="B23" i="4"/>
  <c r="C33" i="4"/>
  <c r="B2" i="4"/>
  <c r="C34" i="4"/>
  <c r="B26" i="4"/>
  <c r="B27" i="4"/>
  <c r="B67" i="16"/>
  <c r="C6" i="3"/>
  <c r="C122" i="3"/>
  <c r="C180" i="3"/>
  <c r="C285" i="3"/>
  <c r="C4" i="16"/>
  <c r="E291" i="3"/>
  <c r="E51" i="16" s="1"/>
  <c r="D402" i="3"/>
  <c r="G511" i="3"/>
  <c r="B57" i="16"/>
  <c r="C7" i="3"/>
  <c r="C13" i="3"/>
  <c r="C181" i="3"/>
  <c r="C286" i="3"/>
  <c r="E402" i="3"/>
  <c r="B6" i="16"/>
  <c r="D510" i="3"/>
  <c r="D106" i="11" s="1"/>
  <c r="H511" i="3"/>
  <c r="B8" i="16"/>
  <c r="B59" i="16"/>
  <c r="C8" i="3"/>
  <c r="C182" i="3"/>
  <c r="C287" i="3"/>
  <c r="B9" i="16"/>
  <c r="B60" i="16"/>
  <c r="G402" i="3"/>
  <c r="N510" i="3"/>
  <c r="I511" i="3"/>
  <c r="B61" i="16"/>
  <c r="C3" i="3"/>
  <c r="C9" i="3"/>
  <c r="C19" i="3"/>
  <c r="C282" i="3"/>
  <c r="C397" i="3"/>
  <c r="H402" i="3"/>
  <c r="J511" i="3"/>
  <c r="B63" i="16"/>
  <c r="D291" i="3"/>
  <c r="C4" i="3"/>
  <c r="C5" i="3"/>
  <c r="C179" i="3"/>
  <c r="C10" i="3"/>
  <c r="C283" i="3"/>
  <c r="B2" i="16"/>
  <c r="H403" i="3"/>
  <c r="C11" i="3"/>
  <c r="B66" i="16"/>
  <c r="C21" i="3"/>
  <c r="D511" i="3"/>
  <c r="C22" i="3"/>
  <c r="E511" i="3"/>
  <c r="C529" i="3"/>
  <c r="C161" i="12"/>
  <c r="B1" i="11"/>
  <c r="D59" i="1"/>
  <c r="D60" i="1"/>
  <c r="K511" i="3"/>
  <c r="C5" i="1"/>
  <c r="C21" i="1"/>
  <c r="L511" i="3"/>
  <c r="C22" i="1"/>
  <c r="C41" i="1"/>
  <c r="C75" i="1"/>
  <c r="C311" i="1"/>
  <c r="B9" i="8"/>
  <c r="D434" i="1"/>
  <c r="C11" i="12"/>
  <c r="C141" i="12"/>
  <c r="C184" i="12"/>
  <c r="C25" i="7"/>
  <c r="C521" i="3"/>
  <c r="C33" i="1"/>
  <c r="C42" i="1"/>
  <c r="C76" i="1"/>
  <c r="J322" i="1"/>
  <c r="C150" i="12"/>
  <c r="C167" i="12"/>
  <c r="C185" i="12"/>
  <c r="C193" i="12"/>
  <c r="C17" i="7"/>
  <c r="C26" i="7"/>
  <c r="B1" i="12"/>
  <c r="G19" i="1"/>
  <c r="C29" i="1"/>
  <c r="C66" i="1"/>
  <c r="G187" i="1"/>
  <c r="C310" i="1"/>
  <c r="J535" i="1"/>
  <c r="C10" i="12"/>
  <c r="C136" i="12"/>
  <c r="C166" i="12"/>
  <c r="C15" i="7"/>
  <c r="C516" i="3"/>
  <c r="C527" i="3"/>
  <c r="C10" i="1"/>
  <c r="D20" i="1"/>
  <c r="C30" i="1"/>
  <c r="C39" i="1"/>
  <c r="D79" i="1"/>
  <c r="J187" i="1"/>
  <c r="C297" i="1"/>
  <c r="L322" i="1"/>
  <c r="C536" i="1"/>
  <c r="C137" i="12"/>
  <c r="C5" i="7"/>
  <c r="C27" i="7"/>
  <c r="G20" i="1"/>
  <c r="C298" i="1"/>
  <c r="C316" i="1"/>
  <c r="C147" i="12"/>
  <c r="C168" i="12"/>
  <c r="C16" i="7"/>
  <c r="C517" i="3"/>
  <c r="C528" i="3"/>
  <c r="G11" i="1"/>
  <c r="C40" i="1"/>
  <c r="C68" i="1"/>
  <c r="D423" i="1"/>
  <c r="K11" i="1"/>
  <c r="C38" i="1"/>
  <c r="C57" i="1"/>
  <c r="C74" i="1"/>
  <c r="D187" i="1"/>
  <c r="D428" i="1"/>
  <c r="C539" i="1"/>
  <c r="C140" i="12"/>
  <c r="C181" i="12"/>
  <c r="C194" i="12"/>
  <c r="C12" i="1"/>
  <c r="C25" i="1"/>
  <c r="C77" i="1"/>
  <c r="K187" i="1"/>
  <c r="C304" i="1"/>
  <c r="C9" i="12"/>
  <c r="C18" i="7"/>
  <c r="C30" i="7"/>
  <c r="M511" i="3"/>
  <c r="C13" i="1"/>
  <c r="C43" i="1"/>
  <c r="C59" i="1"/>
  <c r="D322" i="1"/>
  <c r="C540" i="1"/>
  <c r="C28" i="12"/>
  <c r="C142" i="12"/>
  <c r="C169" i="12"/>
  <c r="C31" i="7"/>
  <c r="C31" i="1"/>
  <c r="G79" i="1"/>
  <c r="C423" i="1"/>
  <c r="C541" i="1"/>
  <c r="C144" i="12"/>
  <c r="C6" i="7"/>
  <c r="C518" i="3"/>
  <c r="C531" i="3"/>
  <c r="C32" i="1"/>
  <c r="C45" i="1"/>
  <c r="D61" i="1"/>
  <c r="C294" i="1"/>
  <c r="D424" i="1"/>
  <c r="G434" i="1"/>
  <c r="C542" i="1"/>
  <c r="C172" i="12"/>
  <c r="C21" i="7"/>
  <c r="C33" i="7"/>
  <c r="C34" i="1"/>
  <c r="C46" i="1"/>
  <c r="J79" i="1"/>
  <c r="D294" i="1"/>
  <c r="C309" i="1"/>
  <c r="C543" i="1"/>
  <c r="C173" i="12"/>
  <c r="J20" i="1"/>
  <c r="C35" i="1"/>
  <c r="K79" i="1"/>
  <c r="C295" i="1"/>
  <c r="D425" i="1"/>
  <c r="C134" i="12"/>
  <c r="C530" i="3"/>
  <c r="C14" i="1"/>
  <c r="C44" i="1"/>
  <c r="K322" i="1"/>
  <c r="C143" i="12"/>
  <c r="C32" i="7"/>
  <c r="K20" i="1"/>
  <c r="C317" i="1"/>
  <c r="C24" i="7"/>
  <c r="C2" i="12"/>
  <c r="C151" i="12"/>
  <c r="C191" i="12"/>
  <c r="C3" i="12"/>
  <c r="C152" i="12"/>
  <c r="C23" i="1"/>
  <c r="C192" i="12"/>
  <c r="C522" i="3"/>
  <c r="C184" i="1"/>
  <c r="C523" i="3"/>
  <c r="C36" i="1"/>
  <c r="D426" i="1"/>
  <c r="C10" i="7"/>
  <c r="D427" i="1"/>
  <c r="H11" i="7"/>
  <c r="C37" i="1"/>
  <c r="C187" i="1"/>
  <c r="C165" i="12"/>
  <c r="C12" i="7"/>
  <c r="C535" i="1"/>
  <c r="C13" i="7"/>
  <c r="C296" i="1"/>
  <c r="C135" i="12"/>
  <c r="J11" i="1"/>
  <c r="C180" i="12"/>
  <c r="C22" i="7"/>
  <c r="C303" i="1"/>
  <c r="C23" i="7"/>
  <c r="C14" i="7"/>
  <c r="C56" i="1"/>
  <c r="D21" i="1"/>
  <c r="E106" i="11" l="1"/>
  <c r="F106" i="11"/>
  <c r="D107" i="11"/>
  <c r="F10" i="8"/>
  <c r="G10" i="8" s="1"/>
  <c r="C28" i="16"/>
  <c r="E28" i="16" s="1"/>
  <c r="C7" i="7"/>
  <c r="C14" i="12"/>
  <c r="C6" i="12"/>
  <c r="A17" i="9"/>
  <c r="A13" i="9"/>
  <c r="A5" i="9"/>
  <c r="A9" i="9"/>
  <c r="C13" i="9"/>
  <c r="C5" i="9"/>
  <c r="C9" i="9"/>
  <c r="C17" i="9"/>
  <c r="C29" i="7"/>
  <c r="C148" i="12"/>
  <c r="C2" i="7"/>
  <c r="C149" i="12"/>
  <c r="C131" i="12"/>
  <c r="C20" i="7"/>
  <c r="C36" i="7"/>
  <c r="C146" i="12"/>
  <c r="C30" i="4"/>
  <c r="B7" i="8"/>
  <c r="C2" i="1"/>
  <c r="C289" i="1"/>
  <c r="C64" i="1"/>
  <c r="C164" i="12"/>
  <c r="C538" i="1"/>
  <c r="C319" i="1"/>
  <c r="C546" i="1"/>
  <c r="C393" i="3"/>
  <c r="C198" i="12"/>
  <c r="C181" i="1"/>
  <c r="C9" i="7"/>
  <c r="C399" i="3"/>
  <c r="C183" i="12"/>
  <c r="C171" i="12"/>
  <c r="C313" i="1"/>
  <c r="C306" i="1"/>
  <c r="C154" i="12"/>
  <c r="C49" i="1"/>
  <c r="C24" i="12"/>
  <c r="C289" i="3"/>
  <c r="C7" i="1"/>
  <c r="C514" i="3"/>
  <c r="C507" i="3"/>
  <c r="C71" i="1"/>
  <c r="C300" i="1"/>
  <c r="C430" i="1"/>
  <c r="C55" i="1"/>
  <c r="B1" i="1"/>
  <c r="A1" i="1"/>
  <c r="A1" i="12"/>
  <c r="D156" i="12"/>
  <c r="C18" i="12"/>
  <c r="C157" i="12"/>
  <c r="C188" i="12"/>
  <c r="C176" i="12"/>
  <c r="C175" i="12"/>
  <c r="C187" i="12"/>
  <c r="C156" i="12"/>
  <c r="C17" i="12"/>
  <c r="C284" i="3"/>
  <c r="E28" i="12"/>
  <c r="D17" i="12"/>
  <c r="D9" i="12"/>
  <c r="C186" i="12"/>
  <c r="C174" i="12"/>
  <c r="C159" i="12"/>
  <c r="C20" i="12"/>
  <c r="C160" i="12"/>
  <c r="C21" i="12"/>
  <c r="C177" i="12"/>
  <c r="C189" i="12"/>
  <c r="C158" i="12"/>
  <c r="C19" i="12"/>
  <c r="C129" i="12"/>
  <c r="C22" i="12"/>
  <c r="C12" i="12"/>
  <c r="C190" i="12"/>
  <c r="C179" i="12"/>
  <c r="G16" i="1"/>
  <c r="B5" i="16"/>
  <c r="B49" i="16"/>
  <c r="B10" i="16"/>
  <c r="C544" i="1"/>
  <c r="C47" i="1"/>
  <c r="C24" i="1"/>
  <c r="C69" i="1"/>
  <c r="C26" i="1"/>
  <c r="C67" i="1"/>
  <c r="C58" i="1"/>
  <c r="C16" i="1"/>
  <c r="J434" i="1"/>
  <c r="G322" i="1"/>
  <c r="G427" i="1"/>
  <c r="J536" i="1"/>
  <c r="G426" i="1"/>
  <c r="G428" i="1"/>
  <c r="C434" i="1"/>
  <c r="C322" i="1"/>
  <c r="C79" i="1"/>
  <c r="C185" i="1"/>
  <c r="C292" i="1"/>
  <c r="C2" i="3"/>
  <c r="C402" i="3"/>
  <c r="C291" i="3"/>
  <c r="C510" i="3"/>
  <c r="K31" i="1"/>
  <c r="K32" i="1"/>
  <c r="K33" i="1"/>
  <c r="K34" i="1"/>
  <c r="K35" i="1"/>
  <c r="K36" i="1"/>
  <c r="K37" i="1"/>
  <c r="K38" i="1"/>
  <c r="K39" i="1"/>
  <c r="K40" i="1"/>
  <c r="K41" i="1"/>
  <c r="K42" i="1"/>
  <c r="K43" i="1"/>
  <c r="K44" i="1"/>
  <c r="K30" i="1"/>
  <c r="G106" i="11" l="1"/>
  <c r="F107" i="11"/>
  <c r="E107" i="11"/>
  <c r="C6" i="16"/>
  <c r="G25" i="1"/>
  <c r="J25" i="1"/>
  <c r="C162" i="12"/>
  <c r="G107" i="11" l="1"/>
  <c r="J409" i="3"/>
  <c r="J410" i="3"/>
  <c r="J411" i="3"/>
  <c r="J412" i="3"/>
  <c r="J413" i="3"/>
  <c r="J414" i="3"/>
  <c r="J415" i="3"/>
  <c r="J416" i="3"/>
  <c r="J417" i="3"/>
  <c r="J418" i="3"/>
  <c r="J419" i="3"/>
  <c r="J420" i="3"/>
  <c r="J421" i="3"/>
  <c r="J422" i="3"/>
  <c r="J423" i="3"/>
  <c r="J424" i="3"/>
  <c r="J425" i="3"/>
  <c r="J426" i="3"/>
  <c r="J427" i="3"/>
  <c r="J428" i="3"/>
  <c r="J504" i="3"/>
  <c r="J505" i="3"/>
  <c r="D206" i="1"/>
  <c r="L206" i="1" s="1"/>
  <c r="D205" i="1"/>
  <c r="L205" i="1" s="1"/>
  <c r="D201" i="1"/>
  <c r="L201" i="1" s="1"/>
  <c r="D189" i="1"/>
  <c r="L189" i="1" s="1"/>
  <c r="D188" i="1"/>
  <c r="L188" i="1" s="1"/>
  <c r="D190" i="1"/>
  <c r="L190" i="1" s="1"/>
  <c r="D191" i="1"/>
  <c r="L191" i="1" s="1"/>
  <c r="D192" i="1"/>
  <c r="L192" i="1" s="1"/>
  <c r="D193" i="1"/>
  <c r="L193" i="1" s="1"/>
  <c r="D194" i="1"/>
  <c r="L194" i="1" s="1"/>
  <c r="D195" i="1"/>
  <c r="L195" i="1" s="1"/>
  <c r="D196" i="1"/>
  <c r="L196" i="1" s="1"/>
  <c r="D197" i="1"/>
  <c r="L197" i="1" s="1"/>
  <c r="D198" i="1"/>
  <c r="L198" i="1" s="1"/>
  <c r="D199" i="1"/>
  <c r="L199" i="1" s="1"/>
  <c r="D200" i="1"/>
  <c r="L200" i="1" s="1"/>
  <c r="D202" i="1"/>
  <c r="L202" i="1" s="1"/>
  <c r="D203" i="1"/>
  <c r="L203" i="1" s="1"/>
  <c r="D204" i="1"/>
  <c r="L204" i="1" s="1"/>
  <c r="D207" i="1"/>
  <c r="L207" i="1" s="1"/>
  <c r="D208" i="1"/>
  <c r="L208" i="1" s="1"/>
  <c r="D209" i="1"/>
  <c r="L209" i="1" s="1"/>
  <c r="D210" i="1"/>
  <c r="L210" i="1" s="1"/>
  <c r="D211" i="1"/>
  <c r="L211" i="1" s="1"/>
  <c r="D286" i="1"/>
  <c r="L286" i="1" s="1"/>
  <c r="D287" i="1"/>
  <c r="L287" i="1" s="1"/>
  <c r="K23" i="1"/>
  <c r="K24" i="1"/>
  <c r="K22" i="1"/>
  <c r="AS26" i="8"/>
  <c r="AY18" i="8"/>
  <c r="AZ18" i="8"/>
  <c r="AY19" i="8" s="1"/>
  <c r="AO26" i="8"/>
  <c r="AU18" i="8"/>
  <c r="AV18" i="8"/>
  <c r="AU19" i="8" s="1"/>
  <c r="AK26" i="8"/>
  <c r="AQ18" i="8"/>
  <c r="AR18" i="8"/>
  <c r="AQ19" i="8" s="1"/>
  <c r="AG26" i="8"/>
  <c r="AM18" i="8"/>
  <c r="AN18" i="8"/>
  <c r="AM19" i="8" s="1"/>
  <c r="AC26" i="8"/>
  <c r="AI18" i="8"/>
  <c r="AJ18" i="8"/>
  <c r="AI19" i="8" s="1"/>
  <c r="Y26" i="8"/>
  <c r="AE18" i="8"/>
  <c r="AF18" i="8"/>
  <c r="AE19" i="8" s="1"/>
  <c r="U26" i="8"/>
  <c r="AA18" i="8"/>
  <c r="AB18" i="8"/>
  <c r="AA19" i="8" s="1"/>
  <c r="Q26" i="8"/>
  <c r="X18" i="8"/>
  <c r="M26" i="8"/>
  <c r="T18" i="8"/>
  <c r="S19" i="8" s="1"/>
  <c r="C27" i="16" l="1"/>
  <c r="W19" i="8"/>
  <c r="W20" i="8" s="1"/>
  <c r="W21" i="8" s="1"/>
  <c r="S20" i="8"/>
  <c r="S21" i="8" s="1"/>
  <c r="AY20" i="8"/>
  <c r="AY21" i="8" s="1"/>
  <c r="AM20" i="8"/>
  <c r="E27" i="16" l="1"/>
  <c r="C29" i="16"/>
  <c r="C26" i="16"/>
  <c r="G424" i="1"/>
  <c r="G425" i="1"/>
  <c r="L323" i="1" l="1"/>
  <c r="J427" i="1" l="1"/>
  <c r="D167" i="12"/>
  <c r="G45" i="1" l="1"/>
  <c r="G47" i="1" s="1"/>
  <c r="D311" i="1"/>
  <c r="D5" i="11"/>
  <c r="D6" i="11"/>
  <c r="D7" i="11"/>
  <c r="D8" i="11"/>
  <c r="D9" i="11"/>
  <c r="D10" i="11"/>
  <c r="D11" i="11"/>
  <c r="D12" i="11"/>
  <c r="D13" i="11"/>
  <c r="D14" i="11"/>
  <c r="D15" i="11"/>
  <c r="D16" i="11"/>
  <c r="D17" i="11"/>
  <c r="D18" i="11"/>
  <c r="D19" i="11"/>
  <c r="D20" i="11"/>
  <c r="D21" i="11"/>
  <c r="D22" i="11"/>
  <c r="D23" i="11"/>
  <c r="D152" i="12" l="1"/>
  <c r="D150" i="12"/>
  <c r="I141" i="12"/>
  <c r="C42" i="16" s="1"/>
  <c r="E42" i="16" s="1"/>
  <c r="D137" i="12"/>
  <c r="E129" i="12"/>
  <c r="I31" i="12" s="1"/>
  <c r="D22" i="12"/>
  <c r="D12" i="12"/>
  <c r="D11" i="12" s="1"/>
  <c r="F3" i="12"/>
  <c r="F2" i="12"/>
  <c r="K422" i="3"/>
  <c r="H410" i="3"/>
  <c r="I410" i="3" s="1"/>
  <c r="I30" i="12" l="1"/>
  <c r="I29" i="12"/>
  <c r="P22" i="8"/>
  <c r="H17" i="7"/>
  <c r="C40" i="16" l="1"/>
  <c r="E40" i="16" s="1"/>
  <c r="K505" i="3"/>
  <c r="J45" i="1" l="1"/>
  <c r="J47" i="1" s="1"/>
  <c r="D45" i="1"/>
  <c r="D46" i="1" s="1"/>
  <c r="G68" i="1" s="1"/>
  <c r="K45" i="1" l="1"/>
  <c r="G46" i="1"/>
  <c r="J46" i="1"/>
  <c r="K407" i="3"/>
  <c r="D3" i="11" s="1"/>
  <c r="K408" i="3"/>
  <c r="K409" i="3"/>
  <c r="F5" i="11" s="1"/>
  <c r="K410" i="3"/>
  <c r="E6" i="11" s="1"/>
  <c r="K411" i="3"/>
  <c r="K412" i="3"/>
  <c r="K413" i="3"/>
  <c r="K414" i="3"/>
  <c r="K415" i="3"/>
  <c r="K416" i="3"/>
  <c r="K417" i="3"/>
  <c r="K418" i="3"/>
  <c r="F14" i="11" s="1"/>
  <c r="K419" i="3"/>
  <c r="K420" i="3"/>
  <c r="K421" i="3"/>
  <c r="E17" i="11" s="1"/>
  <c r="F18" i="11"/>
  <c r="K423" i="3"/>
  <c r="F19" i="11" s="1"/>
  <c r="K424" i="3"/>
  <c r="F20" i="11" s="1"/>
  <c r="K425" i="3"/>
  <c r="K426" i="3"/>
  <c r="K427" i="3"/>
  <c r="K428" i="3"/>
  <c r="K504" i="3"/>
  <c r="K406" i="3"/>
  <c r="D2" i="11" s="1"/>
  <c r="H415" i="3"/>
  <c r="I415" i="3" s="1"/>
  <c r="H416" i="3"/>
  <c r="I416" i="3" s="1"/>
  <c r="H417" i="3"/>
  <c r="I417" i="3" s="1"/>
  <c r="H418" i="3"/>
  <c r="I418" i="3" s="1"/>
  <c r="H419" i="3"/>
  <c r="I419" i="3" s="1"/>
  <c r="H420" i="3"/>
  <c r="I420" i="3" s="1"/>
  <c r="H421" i="3"/>
  <c r="I421" i="3" s="1"/>
  <c r="H422" i="3"/>
  <c r="I422" i="3" s="1"/>
  <c r="H423" i="3"/>
  <c r="I423" i="3" s="1"/>
  <c r="H425" i="3"/>
  <c r="I425" i="3" s="1"/>
  <c r="H426" i="3"/>
  <c r="I426" i="3" s="1"/>
  <c r="H427" i="3"/>
  <c r="I427" i="3" s="1"/>
  <c r="I428" i="3"/>
  <c r="D47" i="1"/>
  <c r="G69" i="1" s="1"/>
  <c r="D4" i="11" l="1"/>
  <c r="F4" i="11" s="1"/>
  <c r="K47" i="1"/>
  <c r="K46" i="1"/>
  <c r="F10" i="11"/>
  <c r="E10" i="11"/>
  <c r="E15" i="11"/>
  <c r="F15" i="11"/>
  <c r="F11" i="11"/>
  <c r="E11" i="11"/>
  <c r="F7" i="11"/>
  <c r="E7" i="11"/>
  <c r="E22" i="11"/>
  <c r="F22" i="11"/>
  <c r="E8" i="11"/>
  <c r="F8" i="11"/>
  <c r="F13" i="11"/>
  <c r="E13" i="11"/>
  <c r="E23" i="11"/>
  <c r="F23" i="11"/>
  <c r="F21" i="11"/>
  <c r="E21" i="11"/>
  <c r="E16" i="11"/>
  <c r="F16" i="11"/>
  <c r="E12" i="11"/>
  <c r="F12" i="11"/>
  <c r="E9" i="11"/>
  <c r="F9" i="11"/>
  <c r="E14" i="11"/>
  <c r="G14" i="11" s="1"/>
  <c r="F17" i="11"/>
  <c r="G17" i="11" s="1"/>
  <c r="E20" i="11"/>
  <c r="E19" i="11"/>
  <c r="G19" i="11" s="1"/>
  <c r="E5" i="11"/>
  <c r="G5" i="11" s="1"/>
  <c r="E18" i="11"/>
  <c r="G18" i="11" s="1"/>
  <c r="F6" i="11"/>
  <c r="G6" i="11" s="1"/>
  <c r="F3" i="11"/>
  <c r="E3" i="11"/>
  <c r="E2" i="11"/>
  <c r="F2" i="11"/>
  <c r="Y16" i="8" l="1"/>
  <c r="W23" i="8" s="1"/>
  <c r="F12" i="8" s="1"/>
  <c r="G12" i="8" s="1"/>
  <c r="U16" i="8"/>
  <c r="S23" i="8" s="1"/>
  <c r="BA16" i="8"/>
  <c r="J406" i="3"/>
  <c r="J407" i="3"/>
  <c r="E4" i="11"/>
  <c r="AW16" i="8"/>
  <c r="AU20" i="8"/>
  <c r="AU21" i="8" s="1"/>
  <c r="AS16" i="8"/>
  <c r="AO16" i="8"/>
  <c r="AK16" i="8"/>
  <c r="AG16" i="8"/>
  <c r="AA20" i="8"/>
  <c r="AA21" i="8" s="1"/>
  <c r="AC16" i="8"/>
  <c r="G20" i="11"/>
  <c r="H424" i="3" s="1"/>
  <c r="I424" i="3" s="1"/>
  <c r="H409" i="3"/>
  <c r="I409" i="3" s="1"/>
  <c r="G13" i="11"/>
  <c r="G11" i="11"/>
  <c r="G10" i="11"/>
  <c r="H414" i="3" s="1"/>
  <c r="I414" i="3" s="1"/>
  <c r="G22" i="11"/>
  <c r="G12" i="11"/>
  <c r="G16" i="11"/>
  <c r="G21" i="11"/>
  <c r="G7" i="11"/>
  <c r="H411" i="3" s="1"/>
  <c r="I411" i="3" s="1"/>
  <c r="G23" i="11"/>
  <c r="G8" i="11"/>
  <c r="H412" i="3" s="1"/>
  <c r="I412" i="3" s="1"/>
  <c r="G15" i="11"/>
  <c r="G9" i="11"/>
  <c r="H413" i="3" s="1"/>
  <c r="I413" i="3" s="1"/>
  <c r="G3" i="11"/>
  <c r="G2" i="11"/>
  <c r="H406" i="3" s="1"/>
  <c r="J26" i="1"/>
  <c r="G26" i="1"/>
  <c r="D26" i="1"/>
  <c r="G67" i="1" s="1"/>
  <c r="K25" i="1"/>
  <c r="D25" i="1"/>
  <c r="G66" i="1" s="1"/>
  <c r="F11" i="8" l="1"/>
  <c r="G11" i="8" s="1"/>
  <c r="AQ20" i="8"/>
  <c r="AQ21" i="8" s="1"/>
  <c r="AQ23" i="8" s="1"/>
  <c r="F17" i="8" s="1"/>
  <c r="G17" i="8" s="1"/>
  <c r="AE20" i="8"/>
  <c r="AE21" i="8" s="1"/>
  <c r="AM21" i="8"/>
  <c r="AM23" i="8" s="1"/>
  <c r="AI20" i="8"/>
  <c r="AA23" i="8"/>
  <c r="AY23" i="8"/>
  <c r="K26" i="1"/>
  <c r="G4" i="11"/>
  <c r="H408" i="3" s="1"/>
  <c r="I408" i="3" s="1"/>
  <c r="J408" i="3"/>
  <c r="AU23" i="8"/>
  <c r="X22" i="8"/>
  <c r="H407" i="3"/>
  <c r="I407" i="3" s="1"/>
  <c r="D56" i="1" l="1"/>
  <c r="L57" i="1" s="1"/>
  <c r="C56" i="16" s="1"/>
  <c r="E56" i="16" s="1"/>
  <c r="AR22" i="8"/>
  <c r="AB22" i="8"/>
  <c r="F13" i="8"/>
  <c r="G13" i="8" s="1"/>
  <c r="AV22" i="8"/>
  <c r="F18" i="8"/>
  <c r="G18" i="8" s="1"/>
  <c r="AZ22" i="8"/>
  <c r="F19" i="8"/>
  <c r="G19" i="8" s="1"/>
  <c r="AN22" i="8"/>
  <c r="F16" i="8"/>
  <c r="G16" i="8" s="1"/>
  <c r="AI21" i="8"/>
  <c r="AI23" i="8" s="1"/>
  <c r="AJ22" i="8" s="1"/>
  <c r="AE23" i="8"/>
  <c r="T22" i="8"/>
  <c r="C53" i="16" l="1"/>
  <c r="AF22" i="8"/>
  <c r="F14" i="8"/>
  <c r="F15" i="8"/>
  <c r="G15" i="8" s="1"/>
  <c r="G14" i="8" l="1"/>
  <c r="H9" i="8" s="1" a="1"/>
  <c r="L324" i="1" l="1"/>
  <c r="L326" i="1"/>
  <c r="L327" i="1"/>
  <c r="L328" i="1"/>
  <c r="L329" i="1"/>
  <c r="J426" i="1" s="1"/>
  <c r="L330" i="1"/>
  <c r="L331" i="1"/>
  <c r="L332" i="1"/>
  <c r="L333" i="1"/>
  <c r="L334" i="1"/>
  <c r="L335" i="1"/>
  <c r="L336" i="1"/>
  <c r="L422" i="1"/>
  <c r="J424" i="1" l="1"/>
  <c r="J423" i="1"/>
  <c r="J428" i="1"/>
  <c r="J425" i="1" l="1"/>
  <c r="K12" i="1"/>
  <c r="I27" i="7" l="1"/>
  <c r="K13" i="1" l="1"/>
  <c r="E3" i="6" l="1"/>
  <c r="E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 i="6"/>
  <c r="B70" i="17" l="1"/>
  <c r="B74" i="17"/>
  <c r="B66" i="17"/>
  <c r="B19" i="16" s="1"/>
  <c r="B75" i="17"/>
  <c r="B67" i="17"/>
  <c r="B62" i="16"/>
  <c r="B77" i="17"/>
  <c r="B48" i="16"/>
  <c r="B64" i="17"/>
  <c r="T2" i="6" s="1"/>
  <c r="B79" i="17"/>
  <c r="B36" i="16"/>
  <c r="B68" i="17"/>
  <c r="B73" i="17"/>
  <c r="B81" i="17"/>
  <c r="B69" i="17"/>
  <c r="B71" i="17"/>
  <c r="B80" i="17"/>
  <c r="B65" i="17"/>
  <c r="B47" i="16" l="1"/>
  <c r="T12" i="6"/>
  <c r="B20" i="16"/>
  <c r="T4" i="6"/>
  <c r="B43" i="16"/>
  <c r="T11" i="6"/>
  <c r="B25" i="16"/>
  <c r="T5" i="6"/>
  <c r="T3" i="6"/>
  <c r="B42" i="16"/>
  <c r="T10" i="6"/>
  <c r="B50" i="16"/>
  <c r="T13" i="6"/>
  <c r="B51" i="16"/>
  <c r="T14" i="6"/>
  <c r="B32" i="16"/>
  <c r="T8" i="6"/>
  <c r="B26" i="16"/>
  <c r="T6" i="6"/>
  <c r="B53" i="16"/>
  <c r="T15" i="6"/>
  <c r="B37" i="16"/>
  <c r="T9" i="6"/>
  <c r="B29" i="16"/>
  <c r="T7" i="6"/>
  <c r="B11" i="16"/>
  <c r="B58" i="16"/>
  <c r="B52" i="16"/>
  <c r="B46" i="16"/>
  <c r="L23" i="1" l="1"/>
  <c r="L5" i="1"/>
  <c r="C21" i="16" s="1"/>
  <c r="E21" i="16" s="1"/>
  <c r="L22" i="1"/>
  <c r="H18" i="12" l="1"/>
  <c r="C39" i="16" s="1"/>
  <c r="E39" i="16" s="1"/>
  <c r="H10" i="12"/>
  <c r="C38" i="16" s="1"/>
  <c r="E38" i="16" s="1"/>
  <c r="H316" i="1"/>
  <c r="C33" i="16" s="1"/>
  <c r="E33" i="16" l="1"/>
  <c r="C37" i="16"/>
  <c r="I22" i="7"/>
  <c r="C65" i="16" s="1"/>
  <c r="E65" i="16" s="1"/>
  <c r="C63" i="16" l="1"/>
  <c r="I406" i="3"/>
  <c r="C16" i="16" s="1"/>
  <c r="E16" i="16" s="1"/>
  <c r="C13" i="16" l="1"/>
  <c r="E13" i="16" s="1"/>
  <c r="C11" i="16" l="1"/>
  <c r="A144" i="18"/>
  <c r="A143" i="18"/>
  <c r="A142" i="18"/>
  <c r="A141" i="18"/>
  <c r="A140" i="18"/>
  <c r="A139" i="18"/>
  <c r="A138" i="18"/>
  <c r="A137" i="18"/>
  <c r="A136" i="18"/>
  <c r="A135" i="18"/>
  <c r="A134" i="18"/>
  <c r="A133" i="18"/>
  <c r="A132" i="18"/>
  <c r="A131" i="18"/>
  <c r="A130" i="18"/>
  <c r="A129" i="18"/>
  <c r="A128" i="18"/>
  <c r="A127" i="18"/>
  <c r="A126" i="18"/>
  <c r="A125" i="18"/>
  <c r="A124" i="18"/>
  <c r="A123" i="18"/>
  <c r="A122" i="18"/>
  <c r="A121" i="18"/>
  <c r="A120" i="18"/>
  <c r="A119" i="18"/>
  <c r="A118" i="18"/>
  <c r="A117" i="18"/>
  <c r="A116" i="18"/>
  <c r="A115" i="18"/>
  <c r="A114" i="18"/>
  <c r="A113" i="18"/>
  <c r="A112" i="18"/>
  <c r="A111" i="18"/>
  <c r="A110" i="18"/>
  <c r="A109" i="18"/>
  <c r="A108" i="18"/>
  <c r="A107" i="18"/>
  <c r="A106" i="18"/>
  <c r="A105" i="18"/>
  <c r="A104" i="18"/>
  <c r="A103" i="18"/>
  <c r="A102" i="18"/>
  <c r="A101" i="18"/>
  <c r="A100" i="18"/>
  <c r="A99" i="18"/>
  <c r="A98" i="18"/>
  <c r="A97" i="18"/>
  <c r="A96" i="18"/>
  <c r="A95" i="18"/>
  <c r="A94" i="18"/>
  <c r="A93" i="18"/>
  <c r="A92" i="18"/>
  <c r="A91" i="18"/>
  <c r="A90" i="18"/>
  <c r="A89" i="18"/>
  <c r="A88" i="18"/>
  <c r="A87" i="18"/>
  <c r="A86" i="18"/>
  <c r="A85" i="18"/>
  <c r="A84" i="18"/>
  <c r="A83" i="18"/>
  <c r="A82" i="18"/>
  <c r="A81" i="18"/>
  <c r="A80" i="18"/>
  <c r="A79" i="18"/>
  <c r="A78" i="18"/>
  <c r="A77" i="18"/>
  <c r="A76" i="18"/>
  <c r="A75" i="18"/>
  <c r="A74" i="18"/>
  <c r="A73" i="18"/>
  <c r="A72" i="18"/>
  <c r="A71" i="18"/>
  <c r="A70" i="18"/>
  <c r="A69" i="18"/>
  <c r="A68" i="18"/>
  <c r="A67" i="18"/>
  <c r="A66" i="18"/>
  <c r="A65" i="18"/>
  <c r="A64" i="18"/>
  <c r="A63" i="18"/>
  <c r="A62" i="18"/>
  <c r="A61" i="18"/>
  <c r="A60" i="18"/>
  <c r="A59" i="18"/>
  <c r="A58" i="18"/>
  <c r="A57" i="18"/>
  <c r="A56" i="18"/>
  <c r="A55" i="18"/>
  <c r="A54" i="18"/>
  <c r="A53" i="18"/>
  <c r="A52" i="18"/>
  <c r="A51" i="18"/>
  <c r="A50" i="18"/>
  <c r="A49" i="18"/>
  <c r="A48" i="18"/>
  <c r="A47" i="18"/>
  <c r="A46" i="18"/>
  <c r="A45" i="18"/>
  <c r="A44" i="18"/>
  <c r="A43" i="18"/>
  <c r="A42" i="18"/>
  <c r="A41" i="18"/>
  <c r="A40" i="18"/>
  <c r="A39" i="18"/>
  <c r="A38" i="18"/>
  <c r="A37" i="18"/>
  <c r="A36" i="18"/>
  <c r="A35" i="18"/>
  <c r="A34" i="18"/>
  <c r="A33" i="18"/>
  <c r="A32" i="18"/>
  <c r="A31" i="18"/>
  <c r="A30" i="18"/>
  <c r="A29" i="18"/>
  <c r="A28" i="18"/>
  <c r="A27" i="18"/>
  <c r="A26" i="18"/>
  <c r="A25" i="18"/>
  <c r="A24" i="18"/>
  <c r="A23" i="18"/>
  <c r="A22" i="18"/>
  <c r="A21" i="18"/>
  <c r="A20" i="18"/>
  <c r="A19" i="18"/>
  <c r="A18" i="18"/>
  <c r="A17" i="18"/>
  <c r="A16" i="18"/>
  <c r="A15" i="18"/>
  <c r="A14" i="18"/>
  <c r="A13" i="18"/>
  <c r="A12" i="18"/>
  <c r="A11" i="18"/>
  <c r="A10" i="18"/>
  <c r="A9" i="18"/>
  <c r="A8" i="18"/>
  <c r="A7" i="18"/>
  <c r="A6" i="18"/>
  <c r="A5" i="18"/>
  <c r="A4" i="18"/>
  <c r="A3" i="18"/>
  <c r="A2" i="18"/>
  <c r="D29" i="9"/>
  <c r="D28" i="9"/>
  <c r="D27" i="9"/>
  <c r="B27" i="9"/>
  <c r="H9" i="8"/>
  <c r="I186" i="12"/>
  <c r="C61" i="16" s="1"/>
  <c r="E61" i="16" s="1"/>
  <c r="M423" i="1"/>
  <c r="C34" i="16" s="1"/>
  <c r="L78" i="1"/>
  <c r="L75" i="1"/>
  <c r="C25" i="16" s="1"/>
  <c r="E25" i="16" s="1"/>
  <c r="L30" i="1"/>
  <c r="C23" i="16" s="1"/>
  <c r="B3" i="4"/>
  <c r="E57" i="16"/>
  <c r="C18" i="16"/>
  <c r="E18" i="16" s="1"/>
  <c r="C24" i="16" l="1"/>
  <c r="E24" i="16" s="1"/>
  <c r="E23" i="16"/>
  <c r="E34" i="16"/>
  <c r="C32" i="16"/>
  <c r="A32" i="8" a="1"/>
  <c r="B32" i="8" a="1"/>
  <c r="J14" i="1" l="1"/>
  <c r="B32" i="8"/>
  <c r="G14" i="1"/>
  <c r="A32" i="8"/>
  <c r="A29" i="8" s="1" a="1"/>
  <c r="A29" i="8" s="1"/>
  <c r="L12" i="1" l="1" a="1"/>
  <c r="L12" i="1" s="1"/>
  <c r="C22" i="16" s="1"/>
  <c r="E22" i="16" s="1"/>
  <c r="K14" i="1"/>
  <c r="C20" i="16" l="1"/>
  <c r="C3" i="16" s="1" a="1"/>
  <c r="C3" i="1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<sst xmlns="http://schemas.openxmlformats.org/spreadsheetml/2006/main" count="12179" uniqueCount="10909">
  <si>
    <t>English - Official [en]</t>
  </si>
  <si>
    <t>¬</t>
  </si>
  <si>
    <t>1.3.0</t>
  </si>
  <si>
    <t>https://xbrl.efrag.org/taxonomy/vsme/2026-05-01/vsme-all.xsd</t>
  </si>
  <si>
    <t>Validation OK</t>
  </si>
  <si>
    <t>[+]</t>
  </si>
  <si>
    <t>Ending day</t>
  </si>
  <si>
    <t>24(a)</t>
  </si>
  <si>
    <t>N/A</t>
  </si>
  <si>
    <t>24(b)</t>
  </si>
  <si>
    <t>24(c)</t>
  </si>
  <si>
    <t>24(e)(i)</t>
  </si>
  <si>
    <t>24(e)(ii)</t>
  </si>
  <si>
    <t>5-6</t>
  </si>
  <si>
    <t>24(e)(iii)</t>
  </si>
  <si>
    <t>24(e)(iv)</t>
  </si>
  <si>
    <t>24(e)(v)</t>
  </si>
  <si>
    <t>7-8</t>
  </si>
  <si>
    <t>24(e)(vi)</t>
  </si>
  <si>
    <t>9-12</t>
  </si>
  <si>
    <t>24(d)</t>
  </si>
  <si>
    <t>24(e)(vii)</t>
  </si>
  <si>
    <t xml:space="preserve"> 9-12</t>
  </si>
  <si>
    <r>
      <rPr>
        <b/>
        <u/>
        <sz val="11"/>
        <color rgb="FF0070C0"/>
        <rFont val="Aptos Narrow"/>
        <family val="2"/>
        <scheme val="minor"/>
      </rPr>
      <t xml:space="preserve">Nominatim Usage Policy (Geocoding Policy)
</t>
    </r>
    <r>
      <rPr>
        <sz val="11"/>
        <color theme="1"/>
        <rFont val="Aptos Narrow"/>
        <family val="2"/>
        <scheme val="minor"/>
      </rPr>
      <t xml:space="preserve">
</t>
    </r>
    <r>
      <rPr>
        <b/>
        <u/>
        <sz val="11"/>
        <color rgb="FF0070C0"/>
        <rFont val="Aptos Narrow"/>
        <family val="2"/>
        <scheme val="minor"/>
      </rPr>
      <t>Privacy Policy</t>
    </r>
  </si>
  <si>
    <t>26-28</t>
  </si>
  <si>
    <t>14-16</t>
  </si>
  <si>
    <t>47(a)</t>
  </si>
  <si>
    <t>47(b)</t>
  </si>
  <si>
    <t>47(c)</t>
  </si>
  <si>
    <t>47(d)</t>
  </si>
  <si>
    <t>18-25</t>
  </si>
  <si>
    <t>54(b)</t>
  </si>
  <si>
    <t>54(a)</t>
  </si>
  <si>
    <t xml:space="preserve">54(d) </t>
  </si>
  <si>
    <t>26-45</t>
  </si>
  <si>
    <t>152-158</t>
  </si>
  <si>
    <t>50-53</t>
  </si>
  <si>
    <t>150-151</t>
  </si>
  <si>
    <t>54(e)</t>
  </si>
  <si>
    <t>160-163</t>
  </si>
  <si>
    <t>46-69</t>
  </si>
  <si>
    <t>70-73</t>
  </si>
  <si>
    <t>74-76</t>
  </si>
  <si>
    <t>77-93</t>
  </si>
  <si>
    <t>77-90</t>
  </si>
  <si>
    <t>38(a) and 38(b)</t>
  </si>
  <si>
    <t>95-107</t>
  </si>
  <si>
    <t>38(c)</t>
  </si>
  <si>
    <t>108-109</t>
  </si>
  <si>
    <t>57(a)</t>
  </si>
  <si>
    <t>164-166</t>
  </si>
  <si>
    <t>57(b)</t>
  </si>
  <si>
    <t>57(c)</t>
  </si>
  <si>
    <t>57(d)</t>
  </si>
  <si>
    <t>39(a)</t>
  </si>
  <si>
    <t>110-117</t>
  </si>
  <si>
    <t>39(b)</t>
  </si>
  <si>
    <t>39(c)</t>
  </si>
  <si>
    <t>41(a)</t>
  </si>
  <si>
    <t>119-126</t>
  </si>
  <si>
    <t>41(b)</t>
  </si>
  <si>
    <t>42(a)</t>
  </si>
  <si>
    <t>127-128</t>
  </si>
  <si>
    <t>42(b)</t>
  </si>
  <si>
    <t>129-136</t>
  </si>
  <si>
    <t>42(c)</t>
  </si>
  <si>
    <t>137-140</t>
  </si>
  <si>
    <t>42(d)</t>
  </si>
  <si>
    <t>167-169</t>
  </si>
  <si>
    <t>170-172</t>
  </si>
  <si>
    <t>61(a)</t>
  </si>
  <si>
    <t>61(b)</t>
  </si>
  <si>
    <t>61(c)</t>
  </si>
  <si>
    <t>62(a)</t>
  </si>
  <si>
    <t>62(b)</t>
  </si>
  <si>
    <t>62(c)</t>
  </si>
  <si>
    <t>Paragraph Reference</t>
  </si>
  <si>
    <t>Paragraph Guidance Reference</t>
  </si>
  <si>
    <t>141-144</t>
  </si>
  <si>
    <t>63(a)</t>
  </si>
  <si>
    <t>175-176</t>
  </si>
  <si>
    <t>63(b)</t>
  </si>
  <si>
    <t>63(c)</t>
  </si>
  <si>
    <t>63(d)</t>
  </si>
  <si>
    <t>177(a)</t>
  </si>
  <si>
    <t>177(b)</t>
  </si>
  <si>
    <t>177(c)</t>
  </si>
  <si>
    <t>177(d)</t>
  </si>
  <si>
    <t>178-180</t>
  </si>
  <si>
    <t>-</t>
  </si>
  <si>
    <t xml:space="preserve">What is your fuel? </t>
  </si>
  <si>
    <t>State of matter</t>
  </si>
  <si>
    <t>Typical renewability state</t>
  </si>
  <si>
    <t>Unit of measurement</t>
  </si>
  <si>
    <t>Amount</t>
  </si>
  <si>
    <t>Energy [MWh]</t>
  </si>
  <si>
    <t>Fuels</t>
  </si>
  <si>
    <t>Typical NCV [TJ/Gg]</t>
  </si>
  <si>
    <r>
      <t>Typical Density [kg/L</t>
    </r>
    <r>
      <rPr>
        <b/>
        <sz val="11"/>
        <color theme="1"/>
        <rFont val="Aptos Narrow"/>
        <family val="2"/>
      </rPr>
      <t>]</t>
    </r>
  </si>
  <si>
    <r>
      <t>Typical Density [kg/m</t>
    </r>
    <r>
      <rPr>
        <b/>
        <sz val="11"/>
        <color theme="1"/>
        <rFont val="Aptos Narrow"/>
        <family val="2"/>
      </rPr>
      <t>³]</t>
    </r>
  </si>
  <si>
    <t>Mass</t>
  </si>
  <si>
    <t>Volume</t>
  </si>
  <si>
    <t>Energy</t>
  </si>
  <si>
    <t>Mass and Volume</t>
  </si>
  <si>
    <t>From → To</t>
  </si>
  <si>
    <t>g/L</t>
  </si>
  <si>
    <t>Kg/L</t>
  </si>
  <si>
    <t>t/L</t>
  </si>
  <si>
    <t>Gg/L</t>
  </si>
  <si>
    <t>g/m³</t>
  </si>
  <si>
    <t>Kg/m³</t>
  </si>
  <si>
    <t>t/m³</t>
  </si>
  <si>
    <t>Gg/m³</t>
  </si>
  <si>
    <t>J/g</t>
  </si>
  <si>
    <t>J/Kg</t>
  </si>
  <si>
    <t>J/t</t>
  </si>
  <si>
    <t>J/Gg</t>
  </si>
  <si>
    <t>KJ/g</t>
  </si>
  <si>
    <t>KJ/Kg</t>
  </si>
  <si>
    <t>KJ/t</t>
  </si>
  <si>
    <t>KJ/Gg</t>
  </si>
  <si>
    <t>TJ/g</t>
  </si>
  <si>
    <t>TJ/Kg</t>
  </si>
  <si>
    <t>TJ/t</t>
  </si>
  <si>
    <t>TJ/Gg</t>
  </si>
  <si>
    <t>MWh/g</t>
  </si>
  <si>
    <t>MWh/Kg</t>
  </si>
  <si>
    <t>MWh/t</t>
  </si>
  <si>
    <t>MWh/Gg</t>
  </si>
  <si>
    <t>g</t>
  </si>
  <si>
    <t>dag</t>
  </si>
  <si>
    <t>hg</t>
  </si>
  <si>
    <t>Kg</t>
  </si>
  <si>
    <t>t</t>
  </si>
  <si>
    <t>Mg</t>
  </si>
  <si>
    <t>Gg</t>
  </si>
  <si>
    <t>Tg</t>
  </si>
  <si>
    <t>Source</t>
  </si>
  <si>
    <t>Anthracite</t>
  </si>
  <si>
    <t>Solid</t>
  </si>
  <si>
    <t>Non-renewable</t>
  </si>
  <si>
    <t>Gg - Gigagram</t>
  </si>
  <si>
    <r>
      <t>m</t>
    </r>
    <r>
      <rPr>
        <sz val="11"/>
        <color theme="1"/>
        <rFont val="Aptos Narrow"/>
        <family val="2"/>
      </rPr>
      <t>³ - cubic meters</t>
    </r>
  </si>
  <si>
    <t>TJ - Terajoule</t>
  </si>
  <si>
    <t>Renewable</t>
  </si>
  <si>
    <t>Aviation gasoline</t>
  </si>
  <si>
    <t>Liquid</t>
  </si>
  <si>
    <t>t - tonne</t>
  </si>
  <si>
    <t>L - Liter</t>
  </si>
  <si>
    <t>MWh - Megawatt hours</t>
  </si>
  <si>
    <t>Biodiesel</t>
  </si>
  <si>
    <t>Kg - Kilogram</t>
  </si>
  <si>
    <t>Gaseous</t>
  </si>
  <si>
    <t>Biogasoline</t>
  </si>
  <si>
    <t>g - gram</t>
  </si>
  <si>
    <t>a.</t>
  </si>
  <si>
    <t>Bitumen</t>
  </si>
  <si>
    <t>b.</t>
  </si>
  <si>
    <t>Blast furnace gas</t>
  </si>
  <si>
    <t>c.</t>
  </si>
  <si>
    <t>Brown coal briquettes</t>
  </si>
  <si>
    <t>Butane and isomers</t>
  </si>
  <si>
    <t>d.</t>
  </si>
  <si>
    <t>Coke oven coke &amp; lignite coke</t>
  </si>
  <si>
    <t>Coke oven gas</t>
  </si>
  <si>
    <t>e.</t>
  </si>
  <si>
    <t>Coking coal</t>
  </si>
  <si>
    <t>Crude oil and distillates</t>
  </si>
  <si>
    <t>Ethane</t>
  </si>
  <si>
    <t>Gas coke</t>
  </si>
  <si>
    <t>f.</t>
  </si>
  <si>
    <t>Gas/Diesel oil</t>
  </si>
  <si>
    <t>Jet gasoline</t>
  </si>
  <si>
    <t>g.</t>
  </si>
  <si>
    <t>Jet kerosene</t>
  </si>
  <si>
    <t>Kerosene</t>
  </si>
  <si>
    <t>Landfill gas</t>
  </si>
  <si>
    <t>Lignite</t>
  </si>
  <si>
    <t>Liquefied Petroleum Gases (LPG)</t>
  </si>
  <si>
    <t>Lubricants</t>
  </si>
  <si>
    <t>Methane</t>
  </si>
  <si>
    <t>h.</t>
  </si>
  <si>
    <t>Motor gasoline/Petrol</t>
  </si>
  <si>
    <t>Municipal wastes (biomass fraction)</t>
  </si>
  <si>
    <t>Municipal wastes (non-biomass fraction)</t>
  </si>
  <si>
    <t>Naphtha</t>
  </si>
  <si>
    <t>Natural gas</t>
  </si>
  <si>
    <t>Natural gas liquids (NGL)</t>
  </si>
  <si>
    <t>Oil shale and tar sands</t>
  </si>
  <si>
    <t>i.</t>
  </si>
  <si>
    <t>Orimulsion</t>
  </si>
  <si>
    <t>j.</t>
  </si>
  <si>
    <t>Oxygen steel furnace gas</t>
  </si>
  <si>
    <t>k.</t>
  </si>
  <si>
    <t>Paraffin waxes</t>
  </si>
  <si>
    <t>Patent fuel</t>
  </si>
  <si>
    <t>Peat</t>
  </si>
  <si>
    <t>Petroleum coke</t>
  </si>
  <si>
    <t>Propane</t>
  </si>
  <si>
    <t>l.</t>
  </si>
  <si>
    <t>Refinery feedstocks</t>
  </si>
  <si>
    <t>m.</t>
  </si>
  <si>
    <t>Refinery Gas</t>
  </si>
  <si>
    <t>n.</t>
  </si>
  <si>
    <t>Residual fuel oil</t>
  </si>
  <si>
    <t>Shale oil (liquid)</t>
  </si>
  <si>
    <t>Sludge gas</t>
  </si>
  <si>
    <t>Sub-bituminous coal</t>
  </si>
  <si>
    <t>Sulphite lyes (black liquor)</t>
  </si>
  <si>
    <t>o.</t>
  </si>
  <si>
    <t>Turpentine</t>
  </si>
  <si>
    <t>p.</t>
  </si>
  <si>
    <t>Vegetable oils</t>
  </si>
  <si>
    <t>q.</t>
  </si>
  <si>
    <t>Waste oils</t>
  </si>
  <si>
    <t>r.</t>
  </si>
  <si>
    <t>Waste water treatment biogas</t>
  </si>
  <si>
    <t>s.</t>
  </si>
  <si>
    <t>White Spirit &amp; SBP</t>
  </si>
  <si>
    <t>t.</t>
  </si>
  <si>
    <t>Wood/Wood waste</t>
  </si>
  <si>
    <t>Other 1</t>
  </si>
  <si>
    <t>Other 2</t>
  </si>
  <si>
    <t>Other 3</t>
  </si>
  <si>
    <t>Other 4</t>
  </si>
  <si>
    <t>Other 5</t>
  </si>
  <si>
    <t>Other 6</t>
  </si>
  <si>
    <t>Other 7</t>
  </si>
  <si>
    <t>Other 8</t>
  </si>
  <si>
    <t>Other 9</t>
  </si>
  <si>
    <t>Other 10</t>
  </si>
  <si>
    <t>Main sources (density and NCV values in white cells):</t>
  </si>
  <si>
    <t>- CDP Technical Note: Conversion of fuel data to MWh (based on 2006 IPCC Guidelines for National Greenhouse Gas Inventories, published by the World Resources Institute/World Business Council for Sustainable     Development in their stationary combustion calculation tool version 3.1(1)),</t>
  </si>
  <si>
    <r>
      <rPr>
        <sz val="11"/>
        <rFont val="Aptos Narrow"/>
        <family val="2"/>
        <scheme val="minor"/>
      </rPr>
      <t xml:space="preserve">available at: </t>
    </r>
    <r>
      <rPr>
        <u/>
        <sz val="11"/>
        <color theme="10"/>
        <rFont val="Aptos Narrow"/>
        <family val="2"/>
        <scheme val="minor"/>
      </rPr>
      <t>https://cdn.cdp.net/cdp-production/cms/guidance_docs/pdfs/000/000/477/original/CDP-Conversion-of-fuel-data-to-MWh.pdf?1479755175</t>
    </r>
    <r>
      <rPr>
        <sz val="11"/>
        <rFont val="Aptos Narrow"/>
        <family val="2"/>
        <scheme val="minor"/>
      </rPr>
      <t>.</t>
    </r>
  </si>
  <si>
    <t>Additional sources (density and NCV values in red cells):</t>
  </si>
  <si>
    <t>- a. Typical Density of Biogasoline,</t>
  </si>
  <si>
    <r>
      <rPr>
        <sz val="11"/>
        <rFont val="Aptos Narrow"/>
        <family val="2"/>
        <scheme val="minor"/>
      </rPr>
      <t xml:space="preserve">available at: </t>
    </r>
    <r>
      <rPr>
        <u/>
        <sz val="11"/>
        <color theme="10"/>
        <rFont val="Aptos Narrow"/>
        <family val="2"/>
        <scheme val="minor"/>
      </rPr>
      <t>https://www.engineeringtoolbox.com/gasoline-density-specific-heat-dynamic-kinematic-viscosity-thermal-conductivity-vs-temperature-d_2224.html</t>
    </r>
    <r>
      <rPr>
        <sz val="11"/>
        <rFont val="Aptos Narrow"/>
        <family val="2"/>
        <scheme val="minor"/>
      </rPr>
      <t>;</t>
    </r>
  </si>
  <si>
    <t>- b. Typical Density of Bitumen,</t>
  </si>
  <si>
    <r>
      <rPr>
        <sz val="11"/>
        <rFont val="Aptos Narrow"/>
        <family val="2"/>
        <scheme val="minor"/>
      </rPr>
      <t xml:space="preserve">available at: </t>
    </r>
    <r>
      <rPr>
        <u/>
        <sz val="11"/>
        <color theme="10"/>
        <rFont val="Aptos Narrow"/>
        <family val="2"/>
        <scheme val="minor"/>
      </rPr>
      <t>https://atdmco.com/wiki-density-of-bitumen/</t>
    </r>
    <r>
      <rPr>
        <sz val="11"/>
        <rFont val="Aptos Narrow"/>
        <family val="2"/>
        <scheme val="minor"/>
      </rPr>
      <t>;</t>
    </r>
  </si>
  <si>
    <t>- c. Typical Density of Blast furnace gas,</t>
  </si>
  <si>
    <r>
      <rPr>
        <sz val="11"/>
        <rFont val="Aptos Narrow"/>
        <family val="2"/>
        <scheme val="minor"/>
      </rPr>
      <t xml:space="preserve">available at: </t>
    </r>
    <r>
      <rPr>
        <u/>
        <sz val="11"/>
        <color theme="10"/>
        <rFont val="Aptos Narrow"/>
        <family val="2"/>
        <scheme val="minor"/>
      </rPr>
      <t>https://engineeringtoolbox.com/gas-density-d_158.html</t>
    </r>
    <r>
      <rPr>
        <u/>
        <sz val="11"/>
        <rFont val="Aptos Narrow"/>
        <family val="2"/>
        <scheme val="minor"/>
      </rPr>
      <t>;</t>
    </r>
  </si>
  <si>
    <t>- d. Typical Density of Butane and isomers,</t>
  </si>
  <si>
    <r>
      <rPr>
        <sz val="11"/>
        <rFont val="Aptos Narrow"/>
        <family val="2"/>
        <scheme val="minor"/>
      </rPr>
      <t xml:space="preserve">available at: </t>
    </r>
    <r>
      <rPr>
        <u/>
        <sz val="11"/>
        <color theme="10"/>
        <rFont val="Aptos Narrow"/>
        <family val="2"/>
        <scheme val="minor"/>
      </rPr>
      <t>https://www.energuide.be/en/questions-answers/what-is-the-calorific-value-of-gas/9655/</t>
    </r>
    <r>
      <rPr>
        <sz val="11"/>
        <rFont val="Aptos Narrow"/>
        <family val="2"/>
        <scheme val="minor"/>
      </rPr>
      <t>;</t>
    </r>
  </si>
  <si>
    <t>- e. Typical Density of Coke oven gas,</t>
  </si>
  <si>
    <r>
      <rPr>
        <sz val="11"/>
        <rFont val="Aptos Narrow"/>
        <family val="2"/>
        <scheme val="minor"/>
      </rPr>
      <t xml:space="preserve">available at: </t>
    </r>
    <r>
      <rPr>
        <u/>
        <sz val="11"/>
        <color theme="10"/>
        <rFont val="Aptos Narrow"/>
        <family val="2"/>
        <scheme val="minor"/>
      </rPr>
      <t>http://cyyenergy.com/en/Products/info_itemid_138.html</t>
    </r>
    <r>
      <rPr>
        <sz val="11"/>
        <rFont val="Aptos Narrow"/>
        <family val="2"/>
        <scheme val="minor"/>
      </rPr>
      <t>;</t>
    </r>
  </si>
  <si>
    <t>- f. Typical Density of Coke gas,</t>
  </si>
  <si>
    <r>
      <rPr>
        <sz val="11"/>
        <rFont val="Aptos Narrow"/>
        <family val="2"/>
        <scheme val="minor"/>
      </rPr>
      <t xml:space="preserve">available at: </t>
    </r>
    <r>
      <rPr>
        <u/>
        <sz val="11"/>
        <color theme="10"/>
        <rFont val="Aptos Narrow"/>
        <family val="2"/>
        <scheme val="minor"/>
      </rPr>
      <t>https://op.europa.eu/en/publication-detail/-/publication/eaa047e8-644c-4149-bdcb-9dde79c64a12</t>
    </r>
    <r>
      <rPr>
        <sz val="11"/>
        <rFont val="Aptos Narrow"/>
        <family val="2"/>
        <scheme val="minor"/>
      </rPr>
      <t>;</t>
    </r>
  </si>
  <si>
    <r>
      <rPr>
        <sz val="11"/>
        <rFont val="Aptos Narrow"/>
        <family val="2"/>
        <scheme val="minor"/>
      </rPr>
      <t xml:space="preserve">                              </t>
    </r>
    <r>
      <rPr>
        <u/>
        <sz val="11"/>
        <color theme="10"/>
        <rFont val="Aptos Narrow"/>
        <family val="2"/>
        <scheme val="minor"/>
      </rPr>
      <t>https://www.bhel.com/sites/default/files/gas-properties-cog-1580716150.pdf</t>
    </r>
    <r>
      <rPr>
        <u/>
        <sz val="11"/>
        <rFont val="Aptos Narrow"/>
        <family val="2"/>
        <scheme val="minor"/>
      </rPr>
      <t>;</t>
    </r>
  </si>
  <si>
    <t>- g. Typical Density of Jet gasoline,</t>
  </si>
  <si>
    <r>
      <rPr>
        <sz val="11"/>
        <rFont val="Aptos Narrow"/>
        <family val="2"/>
        <scheme val="minor"/>
      </rPr>
      <t xml:space="preserve">available at: </t>
    </r>
    <r>
      <rPr>
        <u/>
        <sz val="11"/>
        <color theme="10"/>
        <rFont val="Aptos Narrow"/>
        <family val="2"/>
        <scheme val="minor"/>
      </rPr>
      <t>https://www.engineeringtoolbox.com/fuels-densities-specific-volumes-d_166.html;</t>
    </r>
  </si>
  <si>
    <r>
      <rPr>
        <sz val="11"/>
        <color theme="10"/>
        <rFont val="Aptos Narrow"/>
        <family val="2"/>
        <scheme val="minor"/>
      </rPr>
      <t xml:space="preserve">                               </t>
    </r>
    <r>
      <rPr>
        <u/>
        <sz val="11"/>
        <color theme="10"/>
        <rFont val="Aptos Narrow"/>
        <family val="2"/>
        <scheme val="minor"/>
      </rPr>
      <t>https://www.exxonmobil.com/en-bd/commercial-fuel/pds/gl-xx-jetfuel-series;</t>
    </r>
  </si>
  <si>
    <t>- h. Typical NCV of Methane,</t>
  </si>
  <si>
    <r>
      <rPr>
        <sz val="11"/>
        <rFont val="Aptos Narrow"/>
        <family val="2"/>
        <scheme val="minor"/>
      </rPr>
      <t xml:space="preserve">available at: </t>
    </r>
    <r>
      <rPr>
        <u/>
        <sz val="11"/>
        <color theme="10"/>
        <rFont val="Aptos Narrow"/>
        <family val="2"/>
        <scheme val="minor"/>
      </rPr>
      <t>https://eur-lex.europa.eu/eli/reg_impl/2018/2066/oj/eng#:~:text=Commission%20Implementing%20Regulation%20(EU)%202018,(Text%20with%20EEA%20relevance.);</t>
    </r>
  </si>
  <si>
    <t>- i. Typical Density of Oil shale and tar sands;</t>
  </si>
  <si>
    <r>
      <rPr>
        <sz val="11"/>
        <rFont val="Aptos Narrow"/>
        <family val="2"/>
        <scheme val="minor"/>
      </rPr>
      <t xml:space="preserve">available at: </t>
    </r>
    <r>
      <rPr>
        <u/>
        <sz val="11"/>
        <color theme="10"/>
        <rFont val="Aptos Narrow"/>
        <family val="2"/>
        <scheme val="minor"/>
      </rPr>
      <t>https://osf.io/s2qbt;</t>
    </r>
  </si>
  <si>
    <r>
      <rPr>
        <sz val="11"/>
        <color theme="10"/>
        <rFont val="Aptos Narrow"/>
        <family val="2"/>
        <scheme val="minor"/>
      </rPr>
      <t xml:space="preserve">                               </t>
    </r>
    <r>
      <rPr>
        <u/>
        <sz val="11"/>
        <color theme="10"/>
        <rFont val="Aptos Narrow"/>
        <family val="2"/>
        <scheme val="minor"/>
      </rPr>
      <t>https://www.researchgate.net/figure/Density-and-viscosity-of-shale-oil-in-Lucaogou-Formation-Jimsar-Sag_tbl1_336793871;</t>
    </r>
  </si>
  <si>
    <t>- j. Typical  Density of Orimulsion,</t>
  </si>
  <si>
    <r>
      <rPr>
        <sz val="11"/>
        <rFont val="Aptos Narrow"/>
        <family val="2"/>
        <scheme val="minor"/>
      </rPr>
      <t xml:space="preserve">available at: </t>
    </r>
    <r>
      <rPr>
        <u/>
        <sz val="11"/>
        <color theme="10"/>
        <rFont val="Aptos Narrow"/>
        <family val="2"/>
        <scheme val="minor"/>
      </rPr>
      <t>https://archive.epa.gov/emergencies/content/fss/web/pdf/orimuls.pdf;</t>
    </r>
  </si>
  <si>
    <t>- k. Typical NCV of Oxygen steel furnace gas,</t>
  </si>
  <si>
    <r>
      <rPr>
        <sz val="11"/>
        <rFont val="Aptos Narrow"/>
        <family val="2"/>
        <scheme val="minor"/>
      </rPr>
      <t xml:space="preserve">available at: </t>
    </r>
    <r>
      <rPr>
        <u/>
        <sz val="11"/>
        <color theme="10"/>
        <rFont val="Aptos Narrow"/>
        <family val="2"/>
        <scheme val="minor"/>
      </rPr>
      <t>https://op.europa.eu/en/publication-detail/-/publication/eaa047e8-644c-4149-bdcb-9dde79c64a12;</t>
    </r>
  </si>
  <si>
    <t>- l. Typical density of Propane,</t>
  </si>
  <si>
    <r>
      <rPr>
        <sz val="11"/>
        <rFont val="Aptos Narrow"/>
        <family val="2"/>
        <scheme val="minor"/>
      </rPr>
      <t xml:space="preserve">available at: </t>
    </r>
    <r>
      <rPr>
        <u/>
        <sz val="11"/>
        <color theme="10"/>
        <rFont val="Aptos Narrow"/>
        <family val="2"/>
        <scheme val="minor"/>
      </rPr>
      <t>https://www.engineeringtoolbox.com/propane-C3H8-density-specific-weight-temperature-pressure-d_2033.html?vA=15&amp;degree;</t>
    </r>
  </si>
  <si>
    <t>- m. Typical Density of Refinery feedstocks,</t>
  </si>
  <si>
    <r>
      <rPr>
        <sz val="11"/>
        <rFont val="Aptos Narrow"/>
        <family val="2"/>
        <scheme val="minor"/>
      </rPr>
      <t xml:space="preserve">available at: </t>
    </r>
    <r>
      <rPr>
        <u/>
        <sz val="11"/>
        <color theme="10"/>
        <rFont val="Aptos Narrow"/>
        <family val="2"/>
        <scheme val="minor"/>
      </rPr>
      <t>https://eippcb.jrc.ec.europa.eu/sites/default/files/2020-03/superseded_ref_bref-0203.pdf;</t>
    </r>
  </si>
  <si>
    <t>- n.  Typical Density of Refinery gas,</t>
  </si>
  <si>
    <r>
      <rPr>
        <sz val="11"/>
        <rFont val="Aptos Narrow"/>
        <family val="2"/>
        <scheme val="minor"/>
      </rPr>
      <t xml:space="preserve">available at: </t>
    </r>
    <r>
      <rPr>
        <u/>
        <sz val="11"/>
        <color theme="10"/>
        <rFont val="Aptos Narrow"/>
        <family val="2"/>
        <scheme val="minor"/>
      </rPr>
      <t>http://www.ipcc-nggip.iges.or.jp/efdb/find_ef_ft.php;</t>
    </r>
  </si>
  <si>
    <t>- o. Typical Density of Sulphite lyes (black liquor),</t>
  </si>
  <si>
    <r>
      <rPr>
        <sz val="11"/>
        <rFont val="Aptos Narrow"/>
        <family val="2"/>
        <scheme val="minor"/>
      </rPr>
      <t xml:space="preserve">available at: </t>
    </r>
    <r>
      <rPr>
        <u/>
        <sz val="11"/>
        <color theme="10"/>
        <rFont val="Aptos Narrow"/>
        <family val="2"/>
        <scheme val="minor"/>
      </rPr>
      <t>https://captainslog.gr/wp-content/uploads/2020/12/Sulphite-Lye-Cafn.pdf;</t>
    </r>
  </si>
  <si>
    <t>- p. Typical NCV of Turpentine,</t>
  </si>
  <si>
    <r>
      <rPr>
        <sz val="11"/>
        <rFont val="Aptos Narrow"/>
        <family val="2"/>
        <scheme val="minor"/>
      </rPr>
      <t xml:space="preserve">available at: </t>
    </r>
    <r>
      <rPr>
        <u/>
        <sz val="11"/>
        <color theme="10"/>
        <rFont val="Aptos Narrow"/>
        <family val="2"/>
        <scheme val="minor"/>
      </rPr>
      <t>https://iopscience.iop.org/article/10.1088/1757-899X/912/4/042075;</t>
    </r>
  </si>
  <si>
    <t>- q. Typical NCV of Vegetable oils,</t>
  </si>
  <si>
    <r>
      <rPr>
        <sz val="11"/>
        <rFont val="Aptos Narrow"/>
        <family val="2"/>
        <scheme val="minor"/>
      </rPr>
      <t xml:space="preserve">available at: </t>
    </r>
    <r>
      <rPr>
        <u/>
        <sz val="11"/>
        <color theme="10"/>
        <rFont val="Aptos Narrow"/>
        <family val="2"/>
        <scheme val="minor"/>
      </rPr>
      <t>https://www.engineeringtoolbox.com/fuels-higher-calorific-values-d_169.html;</t>
    </r>
  </si>
  <si>
    <t>- r. Typical Density pf Waste oils,</t>
  </si>
  <si>
    <r>
      <rPr>
        <sz val="11"/>
        <rFont val="Aptos Narrow"/>
        <family val="2"/>
        <scheme val="minor"/>
      </rPr>
      <t xml:space="preserve">available at: </t>
    </r>
    <r>
      <rPr>
        <u/>
        <sz val="11"/>
        <color theme="10"/>
        <rFont val="Aptos Narrow"/>
        <family val="2"/>
        <scheme val="minor"/>
      </rPr>
      <t>https://ehs.cranesville.com/msds.pdfs/MSDS(U003).pdf;</t>
    </r>
  </si>
  <si>
    <t>- s. Typical NCV of Waste water treatment biogas,</t>
  </si>
  <si>
    <r>
      <rPr>
        <sz val="11"/>
        <rFont val="Aptos Narrow"/>
        <family val="2"/>
        <scheme val="minor"/>
      </rPr>
      <t xml:space="preserve">available at: </t>
    </r>
    <r>
      <rPr>
        <u/>
        <sz val="11"/>
        <color theme="10"/>
        <rFont val="Aptos Narrow"/>
        <family val="2"/>
        <scheme val="minor"/>
      </rPr>
      <t>https://www.mdpi.com/2673-5628/5/1/6;</t>
    </r>
  </si>
  <si>
    <t>- t. Typical Density of White Spirit &amp; SBP,</t>
  </si>
  <si>
    <r>
      <rPr>
        <sz val="11"/>
        <rFont val="Aptos Narrow"/>
        <family val="2"/>
        <scheme val="minor"/>
      </rPr>
      <t xml:space="preserve">available at: </t>
    </r>
    <r>
      <rPr>
        <u/>
        <sz val="11"/>
        <color theme="10"/>
        <rFont val="Aptos Narrow"/>
        <family val="2"/>
        <scheme val="minor"/>
      </rPr>
      <t>https://www.shell.com/business-customers/chemicals/our-products/solvents-hydrocarbon/special-boiling-point-solvents/sbp-140-165.html.</t>
    </r>
  </si>
  <si>
    <t>Gg – Gigagram</t>
  </si>
  <si>
    <t>t – tonne</t>
  </si>
  <si>
    <t>Kg – Kilogram</t>
  </si>
  <si>
    <t>g – gram</t>
  </si>
  <si>
    <t>m³ – cubic meters</t>
  </si>
  <si>
    <t>L – Liter</t>
  </si>
  <si>
    <t>TJ – Terajoule</t>
  </si>
  <si>
    <t>MWh – Megawatt hours</t>
  </si>
  <si>
    <r>
      <t>NACE Code List</t>
    </r>
    <r>
      <rPr>
        <sz val="11"/>
        <rFont val="Calibri"/>
        <family val="2"/>
      </rPr>
      <t xml:space="preserve"> (Commission Delegated Regulation (EU) 2023/137 of 10 October 2022 amending Regulation (EC) No 1893/2006 of the European Parliament and of the Council establishing the statistical classification of economic activities NACE Revision 2 (Text with EEA relevance) C/2022/7104)</t>
    </r>
  </si>
  <si>
    <t>NACE categories</t>
  </si>
  <si>
    <t>Country List</t>
  </si>
  <si>
    <t>CountryAxis</t>
  </si>
  <si>
    <t>Axis</t>
  </si>
  <si>
    <t>List of omitted disclosures (with None)</t>
  </si>
  <si>
    <r>
      <t>Pollutants</t>
    </r>
    <r>
      <rPr>
        <sz val="11"/>
        <color theme="1"/>
        <rFont val="Aptos Narrow"/>
        <family val="2"/>
        <scheme val="minor"/>
      </rPr>
      <t xml:space="preserve"> (Regulation (EU) 2024/1244 of the European Parliament and of the Council of 24 April 2024 on reporting of environmental data from industrial installations, establishing an Industrial Emissions Portal and repealing Regulation (EC) No 166/2006)</t>
    </r>
  </si>
  <si>
    <t>Location biodiversity areas</t>
  </si>
  <si>
    <r>
      <t xml:space="preserve">Types of  Wastes </t>
    </r>
    <r>
      <rPr>
        <sz val="11"/>
        <color theme="1"/>
        <rFont val="Aptos Narrow"/>
        <family val="2"/>
        <scheme val="minor"/>
      </rPr>
      <t>((Commission decision of 18 December 2014 
amending Decision 2000/532/EC on the list of waste pursuant to Directive 2008/98/EC of 
the European Parliament and of the Council)</t>
    </r>
  </si>
  <si>
    <t>Undertakings Legal Forms</t>
  </si>
  <si>
    <t>Medium of release</t>
  </si>
  <si>
    <t>Sustainability ussues addressed</t>
  </si>
  <si>
    <t>Hectares or meters squared</t>
  </si>
  <si>
    <t>YES or NO</t>
  </si>
  <si>
    <t>B2</t>
  </si>
  <si>
    <t>Year</t>
  </si>
  <si>
    <t>Month</t>
  </si>
  <si>
    <t>Implementation status</t>
  </si>
  <si>
    <t xml:space="preserve">List of omitted disclosures </t>
  </si>
  <si>
    <t>Month number</t>
  </si>
  <si>
    <t>Unit of measurement (mass only)</t>
  </si>
  <si>
    <t>Waste categories (for validation only)</t>
  </si>
  <si>
    <r>
      <t xml:space="preserve">List of currencies  </t>
    </r>
    <r>
      <rPr>
        <sz val="11"/>
        <color theme="1"/>
        <rFont val="Aptos Narrow"/>
        <family val="2"/>
        <scheme val="minor"/>
      </rPr>
      <t>(ISO 4217)</t>
    </r>
  </si>
  <si>
    <t>Employee methodologies</t>
  </si>
  <si>
    <t>Days</t>
  </si>
  <si>
    <t>Identifier (context identifier scheme)</t>
  </si>
  <si>
    <t>List of options for the modules</t>
  </si>
  <si>
    <t>True or false</t>
  </si>
  <si>
    <t>Mass or Volume</t>
  </si>
  <si>
    <t>NACE All Economic Activities (NACE) / NA [member]</t>
  </si>
  <si>
    <t>NACE A - 01 Crop and animal production, hunting and related service activities</t>
  </si>
  <si>
    <t>Andorra</t>
  </si>
  <si>
    <t>country:AD</t>
  </si>
  <si>
    <t>None</t>
  </si>
  <si>
    <t>Alachlor</t>
  </si>
  <si>
    <t>Located in biodiversity sensitive areas</t>
  </si>
  <si>
    <t>01 - WASTES RESULTING FROM EXPLORATION, MINING, QUARRYING, AND PHYSICAL AND CHEMICAL TREATMENT OF MINERALS</t>
  </si>
  <si>
    <t>private limited liability undertaking</t>
  </si>
  <si>
    <t>kilograms (kg)</t>
  </si>
  <si>
    <t>Water</t>
  </si>
  <si>
    <t>Climate change</t>
  </si>
  <si>
    <t>hectares (ha)</t>
  </si>
  <si>
    <t>YES</t>
  </si>
  <si>
    <t>Practice</t>
  </si>
  <si>
    <t>Adoption of a transition plan is planned in the future</t>
  </si>
  <si>
    <t>January</t>
  </si>
  <si>
    <t>01 WASTES RESULTING FROM EXPLORATION, MINING, DRESSING AND FURTHER TREATMENT OF MINERALS AND QUARRY</t>
  </si>
  <si>
    <t>AED</t>
  </si>
  <si>
    <t>At the end of the reporting period</t>
  </si>
  <si>
    <t>LEI</t>
  </si>
  <si>
    <t>Option A (Basic Module only)</t>
  </si>
  <si>
    <t>NACE A - AGRICULTURE, FORESTRY AND FISHING</t>
  </si>
  <si>
    <t>NACE A - 01.1 Growing of non-perennial crops</t>
  </si>
  <si>
    <t>United Arab Emirates</t>
  </si>
  <si>
    <t>country:AE</t>
  </si>
  <si>
    <t>B1 – Basis for preparation</t>
  </si>
  <si>
    <t>Aldrin</t>
  </si>
  <si>
    <t>Located near biodiversity sesnistive areas</t>
  </si>
  <si>
    <t xml:space="preserve">  01 01 - Wastes from mineral excavation</t>
  </si>
  <si>
    <t>sole proprietorship</t>
  </si>
  <si>
    <t>metric tonnes (t)</t>
  </si>
  <si>
    <t>Air</t>
  </si>
  <si>
    <t>Pollution</t>
  </si>
  <si>
    <r>
      <t>squared meters (m2</t>
    </r>
    <r>
      <rPr>
        <sz val="11"/>
        <color theme="1"/>
        <rFont val="Aptos Narrow"/>
        <family val="2"/>
      </rPr>
      <t>)</t>
    </r>
  </si>
  <si>
    <t>NO</t>
  </si>
  <si>
    <t>Policy</t>
  </si>
  <si>
    <t>A transition plan has already been adopted</t>
  </si>
  <si>
    <t>February</t>
  </si>
  <si>
    <t xml:space="preserve">    0101 Wastes from mineral excavation</t>
  </si>
  <si>
    <t>AFN</t>
  </si>
  <si>
    <t>As an average across the reporting period</t>
  </si>
  <si>
    <t>DUNS</t>
  </si>
  <si>
    <t>Option B (Basic Module and Comprehensive Module)</t>
  </si>
  <si>
    <t>L</t>
  </si>
  <si>
    <t>NACE A - 01.2 Growing of perennial crops</t>
  </si>
  <si>
    <t>Afghanistan</t>
  </si>
  <si>
    <t>country:AF</t>
  </si>
  <si>
    <t>B2 – Practices, policies and future initiatives for transitioning towards a more sustainable economy</t>
  </si>
  <si>
    <t>Ammonia (NH3)</t>
  </si>
  <si>
    <t xml:space="preserve">    01 01 01 - Non-Hazardous - Wastes from mineral metalliferous excavation</t>
  </si>
  <si>
    <t>partnership</t>
  </si>
  <si>
    <r>
      <t>cubic meters (m3</t>
    </r>
    <r>
      <rPr>
        <sz val="11"/>
        <color theme="1"/>
        <rFont val="Aptos Narrow"/>
        <family val="2"/>
      </rPr>
      <t>)</t>
    </r>
  </si>
  <si>
    <t>Soil</t>
  </si>
  <si>
    <t>Water and marine resources</t>
  </si>
  <si>
    <t>Future Initiative</t>
  </si>
  <si>
    <t>March</t>
  </si>
  <si>
    <t xml:space="preserve">    0102 Wastes from mineral dressing</t>
  </si>
  <si>
    <t>ALL</t>
  </si>
  <si>
    <t>EU ID</t>
  </si>
  <si>
    <t>NACE A - 01.3 Plant propagation</t>
  </si>
  <si>
    <t>Antigua and Barbuda</t>
  </si>
  <si>
    <t>country:AG</t>
  </si>
  <si>
    <t>B3 – Energy and greenhouse gas emissions</t>
  </si>
  <si>
    <t>Anthracene</t>
  </si>
  <si>
    <t xml:space="preserve">    01 01 02 - Non-Hazardous - Wastes from mineral non-metalliferous excavation</t>
  </si>
  <si>
    <t>cooperative</t>
  </si>
  <si>
    <t>Biodiversity and ecosystems</t>
  </si>
  <si>
    <t>April</t>
  </si>
  <si>
    <t xml:space="preserve">    0103 Wastes from further physical and chemical processing of metalliferous minerals</t>
  </si>
  <si>
    <t>AMD</t>
  </si>
  <si>
    <t>PermID</t>
  </si>
  <si>
    <t>NACE A - 01.11 Growing of cereals, other than rice, leguminous crops and oil seeds</t>
  </si>
  <si>
    <t>NACE A - 01.4 Animal production</t>
  </si>
  <si>
    <t>Anguilla</t>
  </si>
  <si>
    <t>country:AI</t>
  </si>
  <si>
    <t>B4 – Pollution of air, water and soil</t>
  </si>
  <si>
    <t>Arsenic and compounds (As)</t>
  </si>
  <si>
    <t xml:space="preserve">  01 03 - Wastes from physical and chemical processing of metalliferous minerals</t>
  </si>
  <si>
    <t>other (please specify the legal form in the row below)</t>
  </si>
  <si>
    <t>Circular economy</t>
  </si>
  <si>
    <t>May</t>
  </si>
  <si>
    <t xml:space="preserve">    0104 Wastes from further physical and chemical processing on non-metalliferous minerals</t>
  </si>
  <si>
    <t>ANG</t>
  </si>
  <si>
    <t>NACE A - 01.12 Growing of rice</t>
  </si>
  <si>
    <t>NACE A - 01.5 Mixed farming</t>
  </si>
  <si>
    <t>Albania</t>
  </si>
  <si>
    <t>country:AL</t>
  </si>
  <si>
    <t>B5 – Biodiversity</t>
  </si>
  <si>
    <t>Asbestos</t>
  </si>
  <si>
    <t xml:space="preserve">    01 03 04 - Hazardous - Acid-generating tailings from processing of sulphide ore</t>
  </si>
  <si>
    <t>Own workforce</t>
  </si>
  <si>
    <t>June</t>
  </si>
  <si>
    <t xml:space="preserve">    0105 Drilling muds and other drilling wastes</t>
  </si>
  <si>
    <t>AOA</t>
  </si>
  <si>
    <t>NACE A - 01.13 Growing of vegetables and melons, roots and tubers</t>
  </si>
  <si>
    <t>NACE A - 01.6 Support activities to agriculture and post-harvest crop activities</t>
  </si>
  <si>
    <t>Armenia</t>
  </si>
  <si>
    <t>country:AM</t>
  </si>
  <si>
    <t>B6 – Water</t>
  </si>
  <si>
    <t>Atrazine</t>
  </si>
  <si>
    <t xml:space="preserve">    01 03 05 - Hazardous - Other tailings containing hazardous substances</t>
  </si>
  <si>
    <t>Workers in the value chain</t>
  </si>
  <si>
    <t>July</t>
  </si>
  <si>
    <t>02 WASTES FROM AGRICULTURAL, HORTICULTURAL, HUNTING, FISHING AND AQUACULTURAL PRIMARY PRODUCTION, FOOD PREPARATION AND PROCESSING</t>
  </si>
  <si>
    <t>ARS</t>
  </si>
  <si>
    <t>NACE A - 01.14 Growing of sugar cane</t>
  </si>
  <si>
    <t>NACE A - 01.7 Hunting, trapping and related service activities</t>
  </si>
  <si>
    <t>Netherlands Antilles (before 2010-12-15)</t>
  </si>
  <si>
    <t>country:AN</t>
  </si>
  <si>
    <t>B7 – Resource use, circular economy and waste management</t>
  </si>
  <si>
    <t>Benzene</t>
  </si>
  <si>
    <t xml:space="preserve">    01 03 06 - Non-Hazardous - Tailings other than those mentioned in 01 03 04 and 01 03 05</t>
  </si>
  <si>
    <t>Affected communities</t>
  </si>
  <si>
    <t>August</t>
  </si>
  <si>
    <t xml:space="preserve">    0201 Primary production wastes</t>
  </si>
  <si>
    <t>AUD</t>
  </si>
  <si>
    <t>NACE A - 01.15 Growing of tobacco</t>
  </si>
  <si>
    <t>NACE A - 02 Forestry and logging</t>
  </si>
  <si>
    <t>Angola</t>
  </si>
  <si>
    <t>country:AO</t>
  </si>
  <si>
    <t>B8 – Workforce – General characteristics</t>
  </si>
  <si>
    <t>Benzo(g,h,i)perylene</t>
  </si>
  <si>
    <t xml:space="preserve">    01 03 07 - Hazardous - Other wastes containing hazardous substances from physical and chemical processing of metalliferous minerals</t>
  </si>
  <si>
    <t>Consumers and end-users</t>
  </si>
  <si>
    <t>September</t>
  </si>
  <si>
    <t xml:space="preserve">    0202 Wastes from the preparation and processing of meat, fish and other foods of animal origin</t>
  </si>
  <si>
    <t>AWG</t>
  </si>
  <si>
    <t>NACE A - 01.16 Growing of fibre crops</t>
  </si>
  <si>
    <t>NACE A - 02.1 Silviculture and other forestry activities</t>
  </si>
  <si>
    <t>Antarctica</t>
  </si>
  <si>
    <t>country:AQ</t>
  </si>
  <si>
    <t>B9 – Workforce – Health and safety</t>
  </si>
  <si>
    <t>Brominated diphenylethers (PBDE)</t>
  </si>
  <si>
    <t xml:space="preserve">    01 03 08 - Non-Hazardous - Dusty and powdery wastes other than those mentioned in 01 03 07</t>
  </si>
  <si>
    <t>Business conduct</t>
  </si>
  <si>
    <t>October</t>
  </si>
  <si>
    <t xml:space="preserve">    0203 Wastes from fruit, vegetables, cereals, edible oils, cocoa, coffee and tobacco preparation and processing; tobacco processing; conserve production</t>
  </si>
  <si>
    <t>AZN</t>
  </si>
  <si>
    <t>NACE A - 01.19 Growing of other non-perennial crops</t>
  </si>
  <si>
    <t>NACE A - 02.2 Logging</t>
  </si>
  <si>
    <t>Argentina</t>
  </si>
  <si>
    <t>country:AR</t>
  </si>
  <si>
    <t>B10 – Workforce – Remuneration, collective bargaining and training</t>
  </si>
  <si>
    <t>Cadmium and compounds (Cd)</t>
  </si>
  <si>
    <t xml:space="preserve">    01 03 09 - Non-Hazardous - Red mud from alumina production other than the wastes mentioned in 01 03 10</t>
  </si>
  <si>
    <t>Other</t>
  </si>
  <si>
    <t>November</t>
  </si>
  <si>
    <t xml:space="preserve">    0204 Wastes from sugar processing</t>
  </si>
  <si>
    <t>BAM</t>
  </si>
  <si>
    <t>NACE A - 02.3 Gathering of wild growing non-wood products</t>
  </si>
  <si>
    <t>American Samoa</t>
  </si>
  <si>
    <t>country:AS</t>
  </si>
  <si>
    <t>B11 – Convictions and fines for corruption and bribery</t>
  </si>
  <si>
    <t>Carbon dioxide (CO2)</t>
  </si>
  <si>
    <t xml:space="preserve">    01 03 10 - Hazardous - Red mud from alumina production containing hazardous substances other than the wastes mentioned in 01 03 07</t>
  </si>
  <si>
    <t>December</t>
  </si>
  <si>
    <t xml:space="preserve">    0205 Wastes from the dairy products industry</t>
  </si>
  <si>
    <t>BBD</t>
  </si>
  <si>
    <t>NACE A - 01.21 Growing of grapes</t>
  </si>
  <si>
    <t>NACE A - 02.4 Support services to forestry</t>
  </si>
  <si>
    <t>Austria</t>
  </si>
  <si>
    <t>country:AT</t>
  </si>
  <si>
    <t>C1 – Strategy: Business Model and Sustainability – Related Initiatives</t>
  </si>
  <si>
    <t>Carbon monoxide (CO)</t>
  </si>
  <si>
    <t xml:space="preserve">    01 03 99 - Non-Hazardous - Wastes not otherwise specified</t>
  </si>
  <si>
    <t xml:space="preserve">    0206 Wastes from the baking and confectionery industry</t>
  </si>
  <si>
    <t>BDT</t>
  </si>
  <si>
    <t>NACE A - 01.22 Growing of tropical and subtropical fruits</t>
  </si>
  <si>
    <t>NACE A - 03 Fishing and aquaculture</t>
  </si>
  <si>
    <t>Australia</t>
  </si>
  <si>
    <t>country:AU</t>
  </si>
  <si>
    <t>C2 – Description of practices, policies and future initiatives for transitioning towards a more sustainable economy</t>
  </si>
  <si>
    <t>Chlordane</t>
  </si>
  <si>
    <t xml:space="preserve">  01 04 - Wastes from physical and chemical processing of non-metalliferous minerals</t>
  </si>
  <si>
    <t xml:space="preserve">    0207 Wastes from the production of alcoholic and non-alcoholic beverages (except coffee, tea and cocoa)</t>
  </si>
  <si>
    <t>BGN</t>
  </si>
  <si>
    <t>NACE A - 01.23 Growing of citrus fruits</t>
  </si>
  <si>
    <t>NACE A - 03.1 Fishing</t>
  </si>
  <si>
    <t>Aruba</t>
  </si>
  <si>
    <t>country:AW</t>
  </si>
  <si>
    <t>C3 – GHG reduction targets and climate transition</t>
  </si>
  <si>
    <t>Chlordecone</t>
  </si>
  <si>
    <t xml:space="preserve">    01 04 07 - Hazardous - Wastes containing hazardous substances from physical and chemical processing of non-metalliferous minerals</t>
  </si>
  <si>
    <t>03 WASTES FROM WOOD PROCESSING AND THE PRODUCTION OF PAPER, CARDBOARD, PULP, PANELS AND FURNITURE</t>
  </si>
  <si>
    <t>BHD</t>
  </si>
  <si>
    <t>NACE A - 01.24 Growing of pome fruits and stone fruits</t>
  </si>
  <si>
    <t>NACE A - 03.2 Aquaculture</t>
  </si>
  <si>
    <t>Åland Islands</t>
  </si>
  <si>
    <t>country:AX</t>
  </si>
  <si>
    <t>C4 – Climate risks</t>
  </si>
  <si>
    <t>Chlorfenvinphos</t>
  </si>
  <si>
    <t xml:space="preserve">    01 04 08 - Non-Hazardous - Waste gravel and crushed rocks other than those mentioned in 01 04 07</t>
  </si>
  <si>
    <t xml:space="preserve">    0301 Wastes from wood processing and the production of panels and furniture</t>
  </si>
  <si>
    <t>BIF</t>
  </si>
  <si>
    <t>NACE A - 01.25 Growing of other tree and bush fruits and nuts</t>
  </si>
  <si>
    <t>NACE A - 03.3 Support activities for fishing and aquaculture</t>
  </si>
  <si>
    <t>Azerbaijan</t>
  </si>
  <si>
    <t>country:AZ</t>
  </si>
  <si>
    <t>C5 – Additional (general) workforce characteristics</t>
  </si>
  <si>
    <t>Chlorides (total Cl)</t>
  </si>
  <si>
    <t xml:space="preserve">    01 04 09 - Non-Hazardous - Waste sand and clays</t>
  </si>
  <si>
    <t xml:space="preserve">    0302 Wood preservation wastes</t>
  </si>
  <si>
    <t>BMD</t>
  </si>
  <si>
    <t>NACE A - 01.26 Growing of oleaginous fruits</t>
  </si>
  <si>
    <t>Bosnia and Herzegovina</t>
  </si>
  <si>
    <t>country:BA</t>
  </si>
  <si>
    <t>C6 – Additional own workforce information - Human rights policies and processes</t>
  </si>
  <si>
    <t>Chlorine and inorganic compounds (HCl)</t>
  </si>
  <si>
    <t xml:space="preserve">    01 04 10 - Non-Hazardous - Dusty and powdery wastes other than those mentioned in 01 04 07</t>
  </si>
  <si>
    <t xml:space="preserve">    0303 Wastes from pulp, paper and cardboard production and processing</t>
  </si>
  <si>
    <t>BND</t>
  </si>
  <si>
    <t>NACE A - 01.27 Growing of beverage crops</t>
  </si>
  <si>
    <t>NACE B - 05 Mining of coal and lignite</t>
  </si>
  <si>
    <t>Barbados</t>
  </si>
  <si>
    <t>country:BB</t>
  </si>
  <si>
    <t>C7 – Severe negative human rights incidents</t>
  </si>
  <si>
    <t>Chloro-alkanes, C10-C13</t>
  </si>
  <si>
    <t xml:space="preserve">    01 04 11 - Non-Hazardous - Wastes from potash and rock salt processing other than those mentioned in 01 04 07</t>
  </si>
  <si>
    <t>04 WASTES FROM THE LEATHER, FUR AND TEXTILE INDUSTRIES</t>
  </si>
  <si>
    <t>BOB</t>
  </si>
  <si>
    <t>NACE A - 01.28 Growing of spices, aromatic, drug and pharmaceutical crops</t>
  </si>
  <si>
    <t>NACE B - 05.1 Mining of hard coal</t>
  </si>
  <si>
    <t>Bangladesh</t>
  </si>
  <si>
    <t>country:BD</t>
  </si>
  <si>
    <t>C8 – Revenues from certain sectors and exclusion from EU reference benchmarks</t>
  </si>
  <si>
    <t>Chlorofluorocarbons (CFCs)</t>
  </si>
  <si>
    <t xml:space="preserve">    01 04 12 - Non-Hazardous - Tailings and other wastes from washing and cleaning of minerals other than those mentioned in 01 04 07 and 01 04 11</t>
  </si>
  <si>
    <t xml:space="preserve">    0401 Wastes from the leather and fur industry</t>
  </si>
  <si>
    <t>BOV</t>
  </si>
  <si>
    <t>NACE A - 01.29 Growing of other perennial crops</t>
  </si>
  <si>
    <t>NACE B - 05.2 Mining of lignite</t>
  </si>
  <si>
    <t>Belgium</t>
  </si>
  <si>
    <t>country:BE</t>
  </si>
  <si>
    <t>C9 – Gender diversity ratio in the governance body</t>
  </si>
  <si>
    <t>Chlorpyrifos</t>
  </si>
  <si>
    <t xml:space="preserve">    01 04 13 - Non-Hazardous - Wastes from stone cutting and sawing other than those mentioned in 01 04 07</t>
  </si>
  <si>
    <t xml:space="preserve">    0402 Wastes from the textile industry</t>
  </si>
  <si>
    <t>BRL</t>
  </si>
  <si>
    <t>NACE B - 06 Extraction of crude petroleum and natural gas</t>
  </si>
  <si>
    <t>Burkina Faso</t>
  </si>
  <si>
    <t>country:BF</t>
  </si>
  <si>
    <t>Chromium and compounds (Cr)</t>
  </si>
  <si>
    <t xml:space="preserve">    01 04 99 - Non-Hazardous - Wastes not otherwise specified</t>
  </si>
  <si>
    <t>05 WASTES FROM PETROLEUM REFINING, NATURAL GAS PURIFICATION AND PYROLYTIC TREATMENT OF COAL</t>
  </si>
  <si>
    <t>BSD</t>
  </si>
  <si>
    <t>NACE A - 01.30 Plant propagation</t>
  </si>
  <si>
    <t>NACE B - 06.1 Extraction of crude petroleum</t>
  </si>
  <si>
    <t>Bulgaria</t>
  </si>
  <si>
    <t>country:BG</t>
  </si>
  <si>
    <t>Copper and compounds (Cu)</t>
  </si>
  <si>
    <t xml:space="preserve">  01 05 - Drilling muds and other drilling wastes</t>
  </si>
  <si>
    <t xml:space="preserve">    0501 Oily sludges and solid wastes</t>
  </si>
  <si>
    <t>BTN</t>
  </si>
  <si>
    <t>NACE B - 06.2 Extraction of natural gas</t>
  </si>
  <si>
    <t>Bahrain</t>
  </si>
  <si>
    <t>country:BH</t>
  </si>
  <si>
    <t>Cyanides (total CN)</t>
  </si>
  <si>
    <t xml:space="preserve">    01 05 04 - Non-Hazardous - Freshwater drilling muds and wastes</t>
  </si>
  <si>
    <t xml:space="preserve">    0502 Non oily sludges and solid wastes</t>
  </si>
  <si>
    <t>BWP</t>
  </si>
  <si>
    <t>NACE A - 01.41 Raising of dairy cattle</t>
  </si>
  <si>
    <t>NACE B - 07 Mining of metal ores</t>
  </si>
  <si>
    <t>Burundi</t>
  </si>
  <si>
    <t>country:BI</t>
  </si>
  <si>
    <t>DDT</t>
  </si>
  <si>
    <t xml:space="preserve">    01 05 05 - Hazardous - Oil-containing drilling muds and wastes</t>
  </si>
  <si>
    <t xml:space="preserve">    0504 Spent filter clays</t>
  </si>
  <si>
    <t>BZD</t>
  </si>
  <si>
    <t>NACE A - 01.42 Raising of other cattle and buffaloes</t>
  </si>
  <si>
    <t>NACE B - 07.1 Mining of iron ores</t>
  </si>
  <si>
    <t>Benin</t>
  </si>
  <si>
    <t>country:BJ</t>
  </si>
  <si>
    <t>Di-(2-ethyl hexyl) phthalate (DEHP)</t>
  </si>
  <si>
    <t xml:space="preserve">    01 05 06 - Hazardous - Drilling muds and other drilling wastes containing hazardous substances</t>
  </si>
  <si>
    <t xml:space="preserve">    0505 Oil desulphurisation wastes</t>
  </si>
  <si>
    <t>CAD</t>
  </si>
  <si>
    <t>NACE A - 01.43 Raising of horses and other equines</t>
  </si>
  <si>
    <t>NACE B - 07.2 Mining of non-ferrous metal ores</t>
  </si>
  <si>
    <t>Saint Barthélemy</t>
  </si>
  <si>
    <t>country:BL</t>
  </si>
  <si>
    <t>1,2-dichloroethane (EDC)</t>
  </si>
  <si>
    <t xml:space="preserve">    01 05 07 - Non-Hazardous - Barite-containing drilling muds and wastes other than those mentioned in 01 05 05 and 01 05 06</t>
  </si>
  <si>
    <t xml:space="preserve">    0506 Wastes from the pyrolytic treatment of coal</t>
  </si>
  <si>
    <t>CDF</t>
  </si>
  <si>
    <t>NACE A - 01.44 Raising of camels and camelids</t>
  </si>
  <si>
    <t>NACE B - 08 Other mining and quarrying</t>
  </si>
  <si>
    <t>Bermuda</t>
  </si>
  <si>
    <t>country:BM</t>
  </si>
  <si>
    <t>Dichloromethane (DCM)</t>
  </si>
  <si>
    <t xml:space="preserve">    01 05 08 - Non-Hazardous - Chloride-containing drilling muds and wastes other than those mentioned in 01 05 05 and 01 05 06</t>
  </si>
  <si>
    <t xml:space="preserve">    0507 Wastes from natural gas purification</t>
  </si>
  <si>
    <t>CHE</t>
  </si>
  <si>
    <t>NACE A - 01.45 Raising of sheep and goats</t>
  </si>
  <si>
    <t>NACE B - 08.1 Quarrying of stone, sand and clay</t>
  </si>
  <si>
    <t>Brunei Darussalam</t>
  </si>
  <si>
    <t>country:BN</t>
  </si>
  <si>
    <t>Dicofol</t>
  </si>
  <si>
    <t xml:space="preserve">    01 05 99 - Non-Hazardous - Wastes not otherwise specified</t>
  </si>
  <si>
    <t xml:space="preserve">    0508 Wastes from oil regeneration</t>
  </si>
  <si>
    <t>CHF</t>
  </si>
  <si>
    <t>NACE A - 01.46 Raising of swine and pigs</t>
  </si>
  <si>
    <t>NACE B - 08.9 Mining and quarrying n.e.c.</t>
  </si>
  <si>
    <t>Bolivia (Plurinational State of)</t>
  </si>
  <si>
    <t>country:BO</t>
  </si>
  <si>
    <t>Dieldrin</t>
  </si>
  <si>
    <t>02 - WASTES FROM AGRICULTURE, HORTICULTURE, AQUACULTURE, FORESTRY, HUNTING AND FISHING, FOOD PREPARATION AND PROCESSING</t>
  </si>
  <si>
    <t>06 WASTES FROM INORGANIC CHEMICAL PROCESSES</t>
  </si>
  <si>
    <t>CHW</t>
  </si>
  <si>
    <t>NACE A - 01.47 Raising of poultry</t>
  </si>
  <si>
    <t>NACE B - 09 Mining support service activities</t>
  </si>
  <si>
    <t>Bonaire, Sint Eustatius and Saba</t>
  </si>
  <si>
    <t>country:BQ</t>
  </si>
  <si>
    <t>Diuron</t>
  </si>
  <si>
    <t xml:space="preserve">  02 01 - Wastes from agriculture, horticulture, aquaculture, forestry, hunting and fishing</t>
  </si>
  <si>
    <t xml:space="preserve">    0601 Waste acidic solutions</t>
  </si>
  <si>
    <t>CLF</t>
  </si>
  <si>
    <t>NACE A - 01.48 Raising of other animals</t>
  </si>
  <si>
    <t>NACE B - 09.1 Support activities for petroleum and natural gas extraction</t>
  </si>
  <si>
    <t>Brazil</t>
  </si>
  <si>
    <t>country:BR</t>
  </si>
  <si>
    <t>Endosulphan</t>
  </si>
  <si>
    <t xml:space="preserve">    02 01 01 - Non-Hazardous - Sludges from washing and cleaning</t>
  </si>
  <si>
    <t xml:space="preserve">    0602 Waste alkaline solutions</t>
  </si>
  <si>
    <t>CLP</t>
  </si>
  <si>
    <t>NACE B - 09.9 Support activities for other mining and quarrying</t>
  </si>
  <si>
    <t>Bahamas</t>
  </si>
  <si>
    <t>country:BS</t>
  </si>
  <si>
    <t>Endrin</t>
  </si>
  <si>
    <t xml:space="preserve">    02 01 02 - Non-Hazardous - Animal-tissue waste</t>
  </si>
  <si>
    <t xml:space="preserve">    0603 Waste salts and their solutions</t>
  </si>
  <si>
    <t>CNY</t>
  </si>
  <si>
    <t>NACE A - 01.50 Mixed farming</t>
  </si>
  <si>
    <t>NACE B - MINING AND QUARRYING</t>
  </si>
  <si>
    <t>Bhutan</t>
  </si>
  <si>
    <t>country:BT</t>
  </si>
  <si>
    <t>Ethyl benzene</t>
  </si>
  <si>
    <t xml:space="preserve">    02 01 03 - Non-Hazardous - Plant-tissue waste</t>
  </si>
  <si>
    <t xml:space="preserve">    0604 Metal-containing wastes</t>
  </si>
  <si>
    <t>COP</t>
  </si>
  <si>
    <t>NACE C - 10 Manufacture of food products</t>
  </si>
  <si>
    <t>Burma (before 1989-12-15)</t>
  </si>
  <si>
    <t>country:BU</t>
  </si>
  <si>
    <t>Ethylene oxide</t>
  </si>
  <si>
    <t xml:space="preserve">    02 01 04 - Non-Hazardous - Waste plastics (except packaging)</t>
  </si>
  <si>
    <t xml:space="preserve">    0605 Sludges from on-site effluent treatment</t>
  </si>
  <si>
    <t>COU</t>
  </si>
  <si>
    <t>NACE A - 01.61 Support activities for crop production</t>
  </si>
  <si>
    <t>NACE C - 10.1 Processing and preserving of meat and production of meat products</t>
  </si>
  <si>
    <t>Bouvet Island</t>
  </si>
  <si>
    <t>country:BV</t>
  </si>
  <si>
    <t>Fluoranthene</t>
  </si>
  <si>
    <t xml:space="preserve">    02 01 06 - Non-Hazardous - Animal faeces, urine and manure (including spoiled straw), effluent, collected separately and treated off-site</t>
  </si>
  <si>
    <t xml:space="preserve">    0606 Wastes from sulphur chemical processes (production and transformation) and desulphurisation processes</t>
  </si>
  <si>
    <t>CRC</t>
  </si>
  <si>
    <t>NACE A - 01.62 Support activities for animal production</t>
  </si>
  <si>
    <t>NACE C - 10.2 Processing and preserving of fish, crustaceans and molluscs</t>
  </si>
  <si>
    <t>Botswana</t>
  </si>
  <si>
    <t>country:BW</t>
  </si>
  <si>
    <t>Fluorides (total F)</t>
  </si>
  <si>
    <t xml:space="preserve">    02 01 07 - Non-Hazardous - Wastes from forestry</t>
  </si>
  <si>
    <t xml:space="preserve">    0607 Wastes from halogen chemical processes</t>
  </si>
  <si>
    <t>CUC</t>
  </si>
  <si>
    <t>NACE A - 01.63 Post-harvest crop activities and seed processing for propagation</t>
  </si>
  <si>
    <t>NACE C - 10.3 Processing and preserving of fruit and vegetables</t>
  </si>
  <si>
    <t>Belarus</t>
  </si>
  <si>
    <t>country:BY</t>
  </si>
  <si>
    <t>Fluorine and inorganic compounds (HF)</t>
  </si>
  <si>
    <t xml:space="preserve">    02 01 08 - Hazardous - Agrochemical waste containing hazardous substances</t>
  </si>
  <si>
    <t xml:space="preserve">    0608 Waste from production of silicon and silicon derivatives</t>
  </si>
  <si>
    <t>CUP</t>
  </si>
  <si>
    <t>NACE C - 10.4 Manufacture of vegetable and animal oils and fats</t>
  </si>
  <si>
    <t>Belize</t>
  </si>
  <si>
    <t>country:BZ</t>
  </si>
  <si>
    <t>Halogenated organic compounds (AOX)</t>
  </si>
  <si>
    <t xml:space="preserve">    02 01 09 - Non-Hazardous - Agrochemical waste other than those mentioned in 02 01 08</t>
  </si>
  <si>
    <t xml:space="preserve">    0609 Wastes from phosphorus chemical processes</t>
  </si>
  <si>
    <t>CVE</t>
  </si>
  <si>
    <t>NACE A - 01.70 Hunting, trapping and related service activities</t>
  </si>
  <si>
    <t>NACE C - 10.5 Manufacture of dairy products and edible ice</t>
  </si>
  <si>
    <t>Canada</t>
  </si>
  <si>
    <t>country:CA</t>
  </si>
  <si>
    <t>Halons</t>
  </si>
  <si>
    <t xml:space="preserve">    02 01 10 - Non-Hazardous - Waste metal</t>
  </si>
  <si>
    <t xml:space="preserve">    0610 Waste from nitrogen chemical processes and fertiliser manufacture</t>
  </si>
  <si>
    <t>CZK</t>
  </si>
  <si>
    <t>NACE C - 10.6 Manufacture of grain mill products, starches and starch products</t>
  </si>
  <si>
    <t>Cocos (Keeling) Islands</t>
  </si>
  <si>
    <t>country:CC</t>
  </si>
  <si>
    <t>Heptachlor</t>
  </si>
  <si>
    <t xml:space="preserve">    02 01 99 - Non-Hazardous - Wastes not otherwise specified</t>
  </si>
  <si>
    <t xml:space="preserve">    0611 Waste from the manufacture of inorganic pigments and opacificiers</t>
  </si>
  <si>
    <t>DJF</t>
  </si>
  <si>
    <t>NACE C - 10.7 Manufacture of bakery and farinaceous products</t>
  </si>
  <si>
    <t>Congo (the Democratic Republic of the)</t>
  </si>
  <si>
    <t>country:CD</t>
  </si>
  <si>
    <t>Hexabromobiphenyl</t>
  </si>
  <si>
    <t xml:space="preserve">  02 02 - Wastes from the preparation and processing of meat, fish and other foods of animal origin</t>
  </si>
  <si>
    <t xml:space="preserve">    0613 Wastes from other inorganic chemical processes</t>
  </si>
  <si>
    <t>DKK</t>
  </si>
  <si>
    <t>NACE A - 02.10 Silviculture and other forestry activities</t>
  </si>
  <si>
    <t>NACE C - 10.8 Manufacture of other food products</t>
  </si>
  <si>
    <t>Central African Republic</t>
  </si>
  <si>
    <t>country:CF</t>
  </si>
  <si>
    <t>Hexachlorobenzene (HCB)</t>
  </si>
  <si>
    <t xml:space="preserve">    02 02 01 - Non-Hazardous - Sludges from washing and cleaning</t>
  </si>
  <si>
    <t>07 WASTES FROM ORGANIC CHEMICAL PROCESSES</t>
  </si>
  <si>
    <t>DOP</t>
  </si>
  <si>
    <t>NACE C - 10.9 Manufacture of prepared animal feeds</t>
  </si>
  <si>
    <t>Congo</t>
  </si>
  <si>
    <t>country:CG</t>
  </si>
  <si>
    <t>Hexachlorobutadiene (HCBD)</t>
  </si>
  <si>
    <t xml:space="preserve">    02 02 02 - Non-Hazardous - Animal-tissue waste</t>
  </si>
  <si>
    <t xml:space="preserve">    0701 Wastes from the manufacture, formulation, supply and use (MFSU) of basic organic chemicals</t>
  </si>
  <si>
    <t>DZD</t>
  </si>
  <si>
    <t>NACE A - 02.20 Logging</t>
  </si>
  <si>
    <t>NACE C - 11 Manufacture of beverages</t>
  </si>
  <si>
    <t>Switzerland</t>
  </si>
  <si>
    <t>country:CH</t>
  </si>
  <si>
    <t>1,2,3,4,5,6-hexachlorocyclohexane (HCH)</t>
  </si>
  <si>
    <t xml:space="preserve">    02 02 03 - Non-Hazardous - Materials unsuitable for consumption or processing</t>
  </si>
  <si>
    <t xml:space="preserve">    0702 Wastes from the MFSU of plastics, synthetic rubber and man-made fibres</t>
  </si>
  <si>
    <t>EGP</t>
  </si>
  <si>
    <t>NACE C - 11.0 Manufacture of beverages</t>
  </si>
  <si>
    <t>Côte d'Ivoire</t>
  </si>
  <si>
    <t>country:CI</t>
  </si>
  <si>
    <t>Hydrochlorofluorocarbons (HCFCs)</t>
  </si>
  <si>
    <t xml:space="preserve">    02 02 04 - Non-Hazardous - Sludges from on-site effluent treatment</t>
  </si>
  <si>
    <t xml:space="preserve">    0703 Wastes from the MFSU of organic dyes and pigments (except waste from the manufacture of inorganic pigments and opacificiers)</t>
  </si>
  <si>
    <t>ERN</t>
  </si>
  <si>
    <t>NACE A - 02.30 Gathering of wild growing non-wood products</t>
  </si>
  <si>
    <t>NACE C - 12 Manufacture of tobacco products</t>
  </si>
  <si>
    <t>Cook Islands</t>
  </si>
  <si>
    <t>country:CK</t>
  </si>
  <si>
    <t>Hydro-fluorocarbons (HFCs)</t>
  </si>
  <si>
    <t xml:space="preserve">    02 02 99 - Non-Hazardous - Wastes not otherwise specified</t>
  </si>
  <si>
    <t xml:space="preserve">    0704 Wastes from the MFSU of organic pesticides (except agrochemical wastes)</t>
  </si>
  <si>
    <t>ETB</t>
  </si>
  <si>
    <t>NACE C - 12.0 Manufacture of tobacco products</t>
  </si>
  <si>
    <t>Chile</t>
  </si>
  <si>
    <t>country:CL</t>
  </si>
  <si>
    <t>Hydrogen cyanide (HCN)</t>
  </si>
  <si>
    <t xml:space="preserve">  02 03 - Wastes from fruit, vegetables, cereals, edible oils, cocoa, coffee, tea and tobacco preparation and processing; conserve production; yeast and yeast extract production, molasses preparation and fermentation</t>
  </si>
  <si>
    <t xml:space="preserve">    0705 Wastes from the MFSU of pharmaceuticals</t>
  </si>
  <si>
    <t>EUR</t>
  </si>
  <si>
    <t>NACE A - 02.40 Support services to forestry</t>
  </si>
  <si>
    <t>NACE C - 13 Manufacture of textiles</t>
  </si>
  <si>
    <t>Cameroon</t>
  </si>
  <si>
    <t>country:CM</t>
  </si>
  <si>
    <t>Isodrin</t>
  </si>
  <si>
    <t xml:space="preserve">    02 03 01 - Non-Hazardous - Sludges from washing, cleaning, peeling, centrifuging and separation</t>
  </si>
  <si>
    <t xml:space="preserve">    0706 Wastes from the MFSU of fats, grease, soaps, detergents disinfectants and cosmetics</t>
  </si>
  <si>
    <t>FJD</t>
  </si>
  <si>
    <t>NACE C - 13.1 Preparation and spinning of textile fibres</t>
  </si>
  <si>
    <t>China</t>
  </si>
  <si>
    <t>country:CN</t>
  </si>
  <si>
    <t>Isoproturon</t>
  </si>
  <si>
    <t xml:space="preserve">    02 03 02 - Non-Hazardous - Wastes from preserving agents</t>
  </si>
  <si>
    <t xml:space="preserve">    0707 Wastes from the MFSU of fine chemicals and chemical products not otherwise specified</t>
  </si>
  <si>
    <t>FKP</t>
  </si>
  <si>
    <t>NACE C - 13.2 Weaving of textiles</t>
  </si>
  <si>
    <t>Colombia</t>
  </si>
  <si>
    <t>country:CO</t>
  </si>
  <si>
    <t>Lead and compounds (Pb)</t>
  </si>
  <si>
    <t xml:space="preserve">    02 03 03 - Non-Hazardous - Wastes from solvent extraction</t>
  </si>
  <si>
    <t>08 WASTES FROM THE MANUFACTURE, FORMULATION, SUPPLY AND USE (MFSU) OF COATINGS (PAINTS, VARNISHES AND VITREOUS ENAMELS), ADHESIVES, SEALANTS AND PRINTING INKS</t>
  </si>
  <si>
    <t>GBP</t>
  </si>
  <si>
    <t>NACE A - 03.11 Marine fishing</t>
  </si>
  <si>
    <t>NACE C - 13.3 Finishing of textiles</t>
  </si>
  <si>
    <t>Costa Rica</t>
  </si>
  <si>
    <t>country:CR</t>
  </si>
  <si>
    <t>Lindane</t>
  </si>
  <si>
    <t xml:space="preserve">    02 03 04 - Non-Hazardous - Materials unsuitable for consumption or processing</t>
  </si>
  <si>
    <t xml:space="preserve">    0801 Wastes from MFSU and removal of paint and varnish</t>
  </si>
  <si>
    <t>GEL</t>
  </si>
  <si>
    <t>NACE A - 03.12 Freshwater fishing</t>
  </si>
  <si>
    <t>NACE C - 13.9 Manufacture of other textiles</t>
  </si>
  <si>
    <t>Serbia and Montenegro (before 2006-09-26)</t>
  </si>
  <si>
    <t>country:CS</t>
  </si>
  <si>
    <t>Mercury and compounds (Hg)</t>
  </si>
  <si>
    <t xml:space="preserve">    02 03 05 - Non-Hazardous - Sludges from on-site effluent treatment</t>
  </si>
  <si>
    <t xml:space="preserve">    0802 Wastes from MFSU of other coatings (including ceramic materials)</t>
  </si>
  <si>
    <t>GHS</t>
  </si>
  <si>
    <t>NACE C - 14 Manufacture of wearing apparel</t>
  </si>
  <si>
    <t>Cuba</t>
  </si>
  <si>
    <t>country:CU</t>
  </si>
  <si>
    <t>Methane (CH4)</t>
  </si>
  <si>
    <t xml:space="preserve">    02 03 99 - Non-Hazardous - Wastes not otherwise specified</t>
  </si>
  <si>
    <t xml:space="preserve">    0803 Wastes from MFSU of printing inks</t>
  </si>
  <si>
    <t>GIP</t>
  </si>
  <si>
    <t>NACE A - 03.21 Marine aquaculture</t>
  </si>
  <si>
    <t>NACE C - 14.1 Manufacture of knitted and crocheted apparel</t>
  </si>
  <si>
    <t>Cabo Verde</t>
  </si>
  <si>
    <t>country:CV</t>
  </si>
  <si>
    <t>Mirex</t>
  </si>
  <si>
    <t xml:space="preserve">  02 04 - Wastes from sugar processing</t>
  </si>
  <si>
    <t xml:space="preserve">    0804 Wastes from MFSU of adhesives and sealants (including waterproofing products)</t>
  </si>
  <si>
    <t>GMD</t>
  </si>
  <si>
    <t>NACE A - 03.22 Freshwater aquaculture</t>
  </si>
  <si>
    <t>NACE C - 14.2 Manufacture of other wearing apparel and accessories</t>
  </si>
  <si>
    <t>Curaçao</t>
  </si>
  <si>
    <t>country:CW</t>
  </si>
  <si>
    <t>Naphthalene</t>
  </si>
  <si>
    <t xml:space="preserve">    02 04 01 - Non-Hazardous - Soil from cleaning and washing beet</t>
  </si>
  <si>
    <t xml:space="preserve">    0805 Wastes not otherwise specified</t>
  </si>
  <si>
    <t>GNF</t>
  </si>
  <si>
    <t>NACE C - 15 Manufacture of leather and related products of other materials</t>
  </si>
  <si>
    <t>Christmas Island</t>
  </si>
  <si>
    <t>country:CX</t>
  </si>
  <si>
    <t>Nickel and compounds (Ni)</t>
  </si>
  <si>
    <t xml:space="preserve">    02 04 02 - Non-Hazardous - Off-specification calcium carbonate</t>
  </si>
  <si>
    <t>09 WASTES FROM THE PHOTOGRAPHIC INDUSTRY</t>
  </si>
  <si>
    <t>GTQ</t>
  </si>
  <si>
    <t>NACE A - 03.30 Support activities for fishing and aquaculture</t>
  </si>
  <si>
    <t>NACE C - 15.1 Tanning, dyeing, dressing of leather and fur; manufacture of luggage, handbags, saddlery and harness</t>
  </si>
  <si>
    <t>Cyprus</t>
  </si>
  <si>
    <t>country:CY</t>
  </si>
  <si>
    <t>Nitrogen oxides (NOx/NO2)</t>
  </si>
  <si>
    <t xml:space="preserve">    02 04 03 - Non-Hazardous - Sludges from on-site effluent treatment</t>
  </si>
  <si>
    <t xml:space="preserve">    0901 Wastes from the photographic industry</t>
  </si>
  <si>
    <t>GYD</t>
  </si>
  <si>
    <t>NACE C - 15.2 Manufacture of footwear</t>
  </si>
  <si>
    <t>Czechia</t>
  </si>
  <si>
    <t>country:CZ</t>
  </si>
  <si>
    <t>Nitrous oxide (N2O)</t>
  </si>
  <si>
    <t xml:space="preserve">    02 04 99 - Non-Hazardous - Wastes not otherwise specified</t>
  </si>
  <si>
    <t>10 INORGANIC WASTES FROM THERMAL PROCESSES</t>
  </si>
  <si>
    <t>HKD</t>
  </si>
  <si>
    <t>NACE C - 16 Manufacture of wood and of products of wood and cork, except furniture; manufacture of articles of straw and plaiting materials</t>
  </si>
  <si>
    <t>Germany</t>
  </si>
  <si>
    <t>country:DE</t>
  </si>
  <si>
    <t>Non-methane volatile organic compounds (NMVOC)</t>
  </si>
  <si>
    <t xml:space="preserve">  02 05 - Wastes from the dairy products industry</t>
  </si>
  <si>
    <t xml:space="preserve">    1001 Wastes from power stations and other combustion plants (except wastes from waste treatment facilities, off-site waste water treatment plants and the water industry)</t>
  </si>
  <si>
    <t>HNL</t>
  </si>
  <si>
    <t>NACE C - 16.1 Sawmilling and planing of wood; processing and finishing of wood</t>
  </si>
  <si>
    <t>Djibouti</t>
  </si>
  <si>
    <t>country:DJ</t>
  </si>
  <si>
    <t>Nonylphenol and Nonylphenol ethoxylates (NP/NPEs)</t>
  </si>
  <si>
    <t xml:space="preserve">    02 05 01 - Non-Hazardous - Materials unsuitable for consumption or processing</t>
  </si>
  <si>
    <t xml:space="preserve">    1002 Wastes from the iron and steel industry</t>
  </si>
  <si>
    <t>HRK</t>
  </si>
  <si>
    <t>NACE B - 05.10 Mining of hard coal</t>
  </si>
  <si>
    <t>NACE C - 16.2 Manufacture of products of wood, cork, straw and plaiting materials</t>
  </si>
  <si>
    <t>Denmark</t>
  </si>
  <si>
    <t>country:DK</t>
  </si>
  <si>
    <t>Octylphenols and Octylphenol ethoxylates</t>
  </si>
  <si>
    <t xml:space="preserve">    02 05 02 - Non-Hazardous - Sludges from on-site effluent treatment</t>
  </si>
  <si>
    <t xml:space="preserve">    1003 Wastes from aluminium thermal metallurgy</t>
  </si>
  <si>
    <t>HTG</t>
  </si>
  <si>
    <t>NACE C - 17 Manufacture of paper and paper products</t>
  </si>
  <si>
    <t>Dominica</t>
  </si>
  <si>
    <t>country:DM</t>
  </si>
  <si>
    <t>Organotin compounds (total Sn)</t>
  </si>
  <si>
    <t xml:space="preserve">    02 05 99 - Non-Hazardous - Wastes not otherwise specified</t>
  </si>
  <si>
    <t xml:space="preserve">    1004 Wastes from lead thermal metallurgy</t>
  </si>
  <si>
    <t>HUF</t>
  </si>
  <si>
    <t>NACE B - 05.20 Mining of lignite</t>
  </si>
  <si>
    <t>NACE C - 17.1 Manufacture of pulp, paper and paperboard</t>
  </si>
  <si>
    <t>Dominican Republic</t>
  </si>
  <si>
    <t>country:DO</t>
  </si>
  <si>
    <t>Particulate matter (PM)</t>
  </si>
  <si>
    <t xml:space="preserve">  02 06 - Wastes from the baking and confectionery industry</t>
  </si>
  <si>
    <t xml:space="preserve">    1005 Wastes from zinc thermal metallurgy</t>
  </si>
  <si>
    <t>IDR</t>
  </si>
  <si>
    <t>NACE C - 17.2 Manufacture of articles of paper and paperboard</t>
  </si>
  <si>
    <t>Algeria</t>
  </si>
  <si>
    <t>country:DZ</t>
  </si>
  <si>
    <t>PCDD + PCDF (dioxins + furans) (Teq)</t>
  </si>
  <si>
    <t xml:space="preserve">    02 06 01 - Non-Hazardous - Materials unsuitable for consumption or processing</t>
  </si>
  <si>
    <t xml:space="preserve">    1006 Wastes from copper thermal metallurgy</t>
  </si>
  <si>
    <t>ILS</t>
  </si>
  <si>
    <t>NACE C - 18 Printing and reproduction of recorded media</t>
  </si>
  <si>
    <t>Ecuador</t>
  </si>
  <si>
    <t>country:EC</t>
  </si>
  <si>
    <t>Pentachlorobenzene</t>
  </si>
  <si>
    <t xml:space="preserve">    02 06 02 - Non-Hazardous - Wastes from preserving agents</t>
  </si>
  <si>
    <t xml:space="preserve">    1007 Wastes from silver, gold and platinum thermal metallurgy</t>
  </si>
  <si>
    <t>INR</t>
  </si>
  <si>
    <t>NACE B - 06.10 Extraction of crude petroleum</t>
  </si>
  <si>
    <t>NACE C - 18.1 Printing and service activities related to printing</t>
  </si>
  <si>
    <t>Estonia</t>
  </si>
  <si>
    <t>country:EE</t>
  </si>
  <si>
    <t>Pentachlorophenol (PCP)</t>
  </si>
  <si>
    <t xml:space="preserve">    02 06 03 - Non-Hazardous - Sludges from on-site effluent treatment</t>
  </si>
  <si>
    <t xml:space="preserve">    1008 Wastes from other non-ferrous thermal metallurgy</t>
  </si>
  <si>
    <t>IQD</t>
  </si>
  <si>
    <t>NACE C - 18.2 Reproduction of recorded media</t>
  </si>
  <si>
    <t>Egypt</t>
  </si>
  <si>
    <t>country:EG</t>
  </si>
  <si>
    <t>Perfluorocarbons (PFCs)</t>
  </si>
  <si>
    <t xml:space="preserve">    02 06 99 - Non-Hazardous - Wastes not otherwise specified</t>
  </si>
  <si>
    <t xml:space="preserve">    1009 Wastes from casting of ferrous pieces</t>
  </si>
  <si>
    <t>IRR</t>
  </si>
  <si>
    <t>NACE B - 06.20 Extraction of natural gas</t>
  </si>
  <si>
    <t>NACE C - 19 Manufacture of coke and refined petroleum products</t>
  </si>
  <si>
    <t>Western Sahara*</t>
  </si>
  <si>
    <t>country:EH</t>
  </si>
  <si>
    <t>Perfluorohexane-1-sulfonic acid (PFHxS) and its salts</t>
  </si>
  <si>
    <t xml:space="preserve">  02 07 - Wastes from the production of alcoholic and non-alcoholic beverages (except coffee, tea and cocoa)</t>
  </si>
  <si>
    <t xml:space="preserve">    1010 Wastes from casting of non-ferrous pieces</t>
  </si>
  <si>
    <t>ISK</t>
  </si>
  <si>
    <t>NACE C - 19.1 Manufacture of coke oven products</t>
  </si>
  <si>
    <t>Eritrea</t>
  </si>
  <si>
    <t>country:ER</t>
  </si>
  <si>
    <t>Perfluorooctanoic acid (PFOA) and its salts</t>
  </si>
  <si>
    <t xml:space="preserve">    02 07 01 - Non-Hazardous - Wastes from washing, cleaning and mechanical reduction of raw materials</t>
  </si>
  <si>
    <t xml:space="preserve">    1011 Wastes from manufacture of glass and glass products</t>
  </si>
  <si>
    <t>JMD</t>
  </si>
  <si>
    <t>NACE C - 19.2 Manufacture of refined petroleum products and fossil fuel products</t>
  </si>
  <si>
    <t>Spain</t>
  </si>
  <si>
    <t>country:ES</t>
  </si>
  <si>
    <t>Phenols (total C)</t>
  </si>
  <si>
    <t xml:space="preserve">    02 07 02 - Non-Hazardous - Wastes from spirits distillation</t>
  </si>
  <si>
    <t xml:space="preserve">    1012 Wastes from manufacture of ceramic goods, bricks, tiles and construction products</t>
  </si>
  <si>
    <t>JOD</t>
  </si>
  <si>
    <t>NACE B - 07.10 Mining of iron ores</t>
  </si>
  <si>
    <t>NACE C - 20 Manufacture of chemicals and chemical products</t>
  </si>
  <si>
    <t>Ethiopia</t>
  </si>
  <si>
    <t>country:ET</t>
  </si>
  <si>
    <t>Polychlorinated biphenyls (PCBs)</t>
  </si>
  <si>
    <t xml:space="preserve">    02 07 03 - Non-Hazardous - Wastes from chemical treatment</t>
  </si>
  <si>
    <t xml:space="preserve">    1013 Wastes from manufacture of cement, lime and plaster and articles and products made from them</t>
  </si>
  <si>
    <t>JPY</t>
  </si>
  <si>
    <t>NACE C - 20.1 Manufacture of basic chemicals, fertilisers and nitrogen compounds, plastics and synthetic rubber in primary forms</t>
  </si>
  <si>
    <t>Finland</t>
  </si>
  <si>
    <t>country:FI</t>
  </si>
  <si>
    <t>Polycyclic aromatic hydrocarbons (PAHs)</t>
  </si>
  <si>
    <t xml:space="preserve">    02 07 04 - Non-Hazardous - Materials unsuitable for consumption or processing</t>
  </si>
  <si>
    <t>11 INORGANIC METAL-CONTAINING WASTES FROM METAL TREATMENT AND THE COATING OF METALS, AND NON-FERROUS HYDROMETALLURGY</t>
  </si>
  <si>
    <t>KES</t>
  </si>
  <si>
    <t>NACE B - 07.21 Mining of uranium and thorium ores</t>
  </si>
  <si>
    <t>NACE C - 20.2 Manufacture of pesticides, disinfectants and other agrochemical products</t>
  </si>
  <si>
    <t>Fiji</t>
  </si>
  <si>
    <t>country:FJ</t>
  </si>
  <si>
    <t>Simazine</t>
  </si>
  <si>
    <t xml:space="preserve">    02 07 05 - Non-Hazardous - Sludges from on-site effluent treatment</t>
  </si>
  <si>
    <t xml:space="preserve">    1101 Liquid wastes and sludges from metal treatment and coating of metals, (e.g. galvanic processes, zinc coating processes, pickling processes, etching, phosphatising, alkaline degreasing)</t>
  </si>
  <si>
    <t>KGS</t>
  </si>
  <si>
    <t>NACE B - 07.29 Mining of other non-ferrous metal ores</t>
  </si>
  <si>
    <t>NACE C - 20.3 Manufacture of paints, varnishes and similar coatings, printing ink and mastics</t>
  </si>
  <si>
    <t>Falkland Islands (the) [Malvinas]</t>
  </si>
  <si>
    <t>country:FK</t>
  </si>
  <si>
    <t>Sulphur hexafluoride (SF6)</t>
  </si>
  <si>
    <t xml:space="preserve">    02 07 99 - Non-Hazardous - Wastes not otherwise specified</t>
  </si>
  <si>
    <t xml:space="preserve">    1102 Wastes and sludges from non-ferrous hydrometallurgical processes</t>
  </si>
  <si>
    <t>KHR</t>
  </si>
  <si>
    <t>NACE C - 20.4 Manufacture of washing, cleaning and polishing preparations</t>
  </si>
  <si>
    <t>Micronesia (Federated States of)</t>
  </si>
  <si>
    <t>country:FM</t>
  </si>
  <si>
    <t>Sulphur oxides (SOx/SO2)</t>
  </si>
  <si>
    <t>03 - WASTES FROM WOOD PROCESSING AND THE PRODUCTION OF PANELS AND FURNITURE, PULP, PAPER AND CARDBOARD</t>
  </si>
  <si>
    <t xml:space="preserve">    1103 Sludges and solids from tempering processes</t>
  </si>
  <si>
    <t>KMF</t>
  </si>
  <si>
    <t>NACE C - 20.5 Manufacture of other chemical products</t>
  </si>
  <si>
    <t>Faroe Islands</t>
  </si>
  <si>
    <t>country:FO</t>
  </si>
  <si>
    <t>Tetrachloroethylene (PER)</t>
  </si>
  <si>
    <t xml:space="preserve">  03 01 - Wastes from wood processing and the production of panels and furniture</t>
  </si>
  <si>
    <t xml:space="preserve">    1104 Other inorganic metal-containing wastes not otherwise specified</t>
  </si>
  <si>
    <t>KPW</t>
  </si>
  <si>
    <t>NACE B - 08.11 Quarrying of ornamental stone, limestone, gypsum, slate and other stone</t>
  </si>
  <si>
    <t>NACE C - 20.6 Manufacture of man-made fibres</t>
  </si>
  <si>
    <t>France</t>
  </si>
  <si>
    <t>country:FR</t>
  </si>
  <si>
    <t>Tetrachloromethane (TCM)</t>
  </si>
  <si>
    <t xml:space="preserve">    03 01 01 - Non-Hazardous - Waste bark and cork</t>
  </si>
  <si>
    <t>12 WASTES FROM SHAPING AND SURFACE TREATMENT OF METALS AND PLASTICS</t>
  </si>
  <si>
    <t>KRW</t>
  </si>
  <si>
    <t>NACE B - 08.12 Operation of gravel and sand pits and mining of clay and kaolin</t>
  </si>
  <si>
    <t>NACE C - 21 Manufacture of basic pharmaceutical products and pharmaceutical preparations</t>
  </si>
  <si>
    <t>Gabon</t>
  </si>
  <si>
    <t>country:GA</t>
  </si>
  <si>
    <t>1,1,2,2-tetrachloroethane</t>
  </si>
  <si>
    <t xml:space="preserve">    03 01 04 - Hazardous - Sawdust, shavings, cuttings, wood, particle board and veneer containing hazardous substances</t>
  </si>
  <si>
    <t xml:space="preserve">    1201 Wastes from shaping (including forgoing, welding, pressing, drawing, turning, cutting and filing)</t>
  </si>
  <si>
    <t>KWD</t>
  </si>
  <si>
    <t>NACE C - 21.1 Manufacture of basic pharmaceutical products</t>
  </si>
  <si>
    <t>United Kingdom of Great Britain and Northern Ireland</t>
  </si>
  <si>
    <t>country:GB</t>
  </si>
  <si>
    <t>Toluene</t>
  </si>
  <si>
    <t xml:space="preserve">    03 01 05 - Non-Hazardous - Sawdust, shavings, cuttings, wood, particle board and veneer other than those mentioned in 03 01 04</t>
  </si>
  <si>
    <t xml:space="preserve">    1202 Wastes from mechanical surface treatment processes (blasting, grinding, honing, lapping, polishing)</t>
  </si>
  <si>
    <t>KYD</t>
  </si>
  <si>
    <t>NACE B - 08.91 Mining of chemical and fertiliser minerals</t>
  </si>
  <si>
    <t>NACE C - 21.2 Manufacture of pharmaceutical preparations</t>
  </si>
  <si>
    <t>Grenada</t>
  </si>
  <si>
    <t>country:GD</t>
  </si>
  <si>
    <t>Total nitrogen</t>
  </si>
  <si>
    <t xml:space="preserve">    03 01 99 - Non-Hazardous - Wastes not otherwise specified</t>
  </si>
  <si>
    <t xml:space="preserve">    1203 Wastes from water and steam degreasing processes (except inorganic metal-containing wastes from metal treatment and the coating of metals, and non-ferrous hydrometallurgy)</t>
  </si>
  <si>
    <t>KZT</t>
  </si>
  <si>
    <t>NACE B - 08.92 Extraction of peat</t>
  </si>
  <si>
    <t>NACE C - 22 Manufacture of rubber and plastic products</t>
  </si>
  <si>
    <t>Georgia</t>
  </si>
  <si>
    <t>country:GE</t>
  </si>
  <si>
    <t>Total organic carbon (TOC) (total C or COD/3)</t>
  </si>
  <si>
    <t xml:space="preserve">  03 02 - Wastes from wood preservation</t>
  </si>
  <si>
    <t>13 OIL WASTES (except edible oils, wastes from petroleum refining, natural gas purification and pyrolytic treatment of coal and wastes from shaping and surface treatment of metals and plastics)</t>
  </si>
  <si>
    <t>LAK</t>
  </si>
  <si>
    <t>NACE B - 08.93 Extraction of salt</t>
  </si>
  <si>
    <t>NACE C - 22.1 Manufacture of rubber products</t>
  </si>
  <si>
    <t>French Guiana</t>
  </si>
  <si>
    <t>country:GF</t>
  </si>
  <si>
    <t>Total phosphorus</t>
  </si>
  <si>
    <t xml:space="preserve">    03 02 01 - Hazardous - Non-halogenated organic wood preservatives</t>
  </si>
  <si>
    <t xml:space="preserve">    1301 Waste hydraulic oils and brake fluids</t>
  </si>
  <si>
    <t>LBP</t>
  </si>
  <si>
    <t>NACE B - 08.99 Other mining and quarrying n.e.c.</t>
  </si>
  <si>
    <t>NACE C - 22.2 Manufacture of plastic products</t>
  </si>
  <si>
    <t>Guernsey</t>
  </si>
  <si>
    <t>country:GG</t>
  </si>
  <si>
    <t>Toxaphene</t>
  </si>
  <si>
    <t xml:space="preserve">    03 02 02 - Hazardous - Organochlorinated wood preservatives</t>
  </si>
  <si>
    <t xml:space="preserve">    1302 Waste engine, gear and lubricating oils</t>
  </si>
  <si>
    <t>LKR</t>
  </si>
  <si>
    <t>NACE C - 23 Manufacture of other non-metallic mineral products</t>
  </si>
  <si>
    <t>Ghana</t>
  </si>
  <si>
    <t>country:GH</t>
  </si>
  <si>
    <t>Tributyltin and compounds</t>
  </si>
  <si>
    <t xml:space="preserve">    03 02 03 - Hazardous - Organometallic wood preservatives</t>
  </si>
  <si>
    <t xml:space="preserve">    1303 Waste insulating and heat transmission oils and other liquids</t>
  </si>
  <si>
    <t>LRD</t>
  </si>
  <si>
    <t>NACE C - 23.1 Manufacture of glass and glass products</t>
  </si>
  <si>
    <t>Gibraltar</t>
  </si>
  <si>
    <t>country:GI</t>
  </si>
  <si>
    <t>Trichlorobenzenes (TCBs) (all isomers)</t>
  </si>
  <si>
    <t xml:space="preserve">    03 02 04 - Hazardous - Inorganic wood preservatives</t>
  </si>
  <si>
    <t xml:space="preserve">    1304 Bilge oils</t>
  </si>
  <si>
    <t>LSL</t>
  </si>
  <si>
    <t>NACE B - 09.10 Support activities for petroleum and natural gas extraction</t>
  </si>
  <si>
    <t>NACE C - 23.2 Manufacture of refractory products</t>
  </si>
  <si>
    <t>Greenland</t>
  </si>
  <si>
    <t>country:GL</t>
  </si>
  <si>
    <t>1,1,1-trichloroethane</t>
  </si>
  <si>
    <t xml:space="preserve">    03 02 05 - Hazardous - Other wood preservatives containing hazardous substances</t>
  </si>
  <si>
    <t xml:space="preserve">    1305 Oil/water separator contents</t>
  </si>
  <si>
    <t>LYD</t>
  </si>
  <si>
    <t>NACE C - 23.3 Manufacture of clay building materials</t>
  </si>
  <si>
    <t>Gambia</t>
  </si>
  <si>
    <t>country:GM</t>
  </si>
  <si>
    <t>Trichloroethylene</t>
  </si>
  <si>
    <t xml:space="preserve">    03 02 99 - Non-Hazardous - Wood preservatives not otherwise specified</t>
  </si>
  <si>
    <t xml:space="preserve">    1306 Oil waste not otherwise specified</t>
  </si>
  <si>
    <t>MAD</t>
  </si>
  <si>
    <t>NACE B - 09.90 Support activities for other mining and quarrying</t>
  </si>
  <si>
    <t>NACE C - 23.4 Manufacture of other porcelain and ceramic products</t>
  </si>
  <si>
    <t>Guinea</t>
  </si>
  <si>
    <t>country:GN</t>
  </si>
  <si>
    <t>Trichloromethane</t>
  </si>
  <si>
    <t xml:space="preserve">  03 03 - Wastes from pulp, paper and cardboard production and processing</t>
  </si>
  <si>
    <t>14 WASTES FROM ORGANIC SUBSTANCES USED AS SOLVENTS (except WASTES FROM ORGANIC CHEMICAL PROCESSES and WASTES FROM THE MANUFACTURE, FORMULATION, SUPPLY AND USE (MFSU) OF COATINGS (PAINTS, VARNISHES AND VITREOUS ENAMELS), ADHESIVES, SEALANTS AND PRINTING INKS)</t>
  </si>
  <si>
    <t>MDL</t>
  </si>
  <si>
    <t>NACE C - MANUFACTURING</t>
  </si>
  <si>
    <t>NACE C - 23.5 Manufacture of cement, lime and plaster</t>
  </si>
  <si>
    <t>Guadeloupe</t>
  </si>
  <si>
    <t>country:GP</t>
  </si>
  <si>
    <t>Trifluralin</t>
  </si>
  <si>
    <t xml:space="preserve">    03 03 01 - Non-Hazardous - Waste bark and wood</t>
  </si>
  <si>
    <t xml:space="preserve">    1401 Wastes from metal degreasing and machinery maintenance</t>
  </si>
  <si>
    <t>MGA</t>
  </si>
  <si>
    <t>NACE C - 23.6 Manufacture of articles of concrete, cement and plaster</t>
  </si>
  <si>
    <t>Equatorial Guinea</t>
  </si>
  <si>
    <t>country:GQ</t>
  </si>
  <si>
    <t>Triphenyltin and compounds</t>
  </si>
  <si>
    <t xml:space="preserve">    03 03 02 - Non-Hazardous - Green liquor sludge (from recovery of cooking liquor)</t>
  </si>
  <si>
    <t xml:space="preserve">    1402 Wastes from textile cleaning and degreasing of natural products</t>
  </si>
  <si>
    <t>MKD</t>
  </si>
  <si>
    <t>NACE C - 23.7 Cutting, shaping and finishing of stone</t>
  </si>
  <si>
    <t>Greece</t>
  </si>
  <si>
    <t>country:GR</t>
  </si>
  <si>
    <t>Vinyl chloride</t>
  </si>
  <si>
    <t xml:space="preserve">    03 03 05 - Non-Hazardous - De-inking sludges from paper recycling</t>
  </si>
  <si>
    <t xml:space="preserve">    1403 Wastes from the electronic industry</t>
  </si>
  <si>
    <t>MMK</t>
  </si>
  <si>
    <t>NACE C - 10.11 Processing and preserving of meat, except of poultry meat</t>
  </si>
  <si>
    <t>NACE C - 23.9 Manufacture of abrasive products and non-metallic mineral products n.e.c.</t>
  </si>
  <si>
    <t>South Georgia and the South Sandwich Islands</t>
  </si>
  <si>
    <t>country:GS</t>
  </si>
  <si>
    <t>Xylenes</t>
  </si>
  <si>
    <t xml:space="preserve">    03 03 07 - Non-Hazardous - Mechanically separated rejects from pulping of waste paper and cardboard</t>
  </si>
  <si>
    <t xml:space="preserve">    1404 Wastes from coolants, foam/aerosol propellents</t>
  </si>
  <si>
    <t>MNT</t>
  </si>
  <si>
    <t>NACE C - 10.12 Processing and preserving of poultry meat</t>
  </si>
  <si>
    <t>NACE C - 24 Manufacture of basic metals</t>
  </si>
  <si>
    <t>Guatemala</t>
  </si>
  <si>
    <t>country:GT</t>
  </si>
  <si>
    <t>Zinc and compounds (Zn)</t>
  </si>
  <si>
    <t xml:space="preserve">    03 03 08 - Non-Hazardous - Wastes from sorting of paper and cardboard destined for recycling</t>
  </si>
  <si>
    <t xml:space="preserve">    1405 Wastes from solvent and coolant recovery (still bottoms)</t>
  </si>
  <si>
    <t>MOP</t>
  </si>
  <si>
    <t>NACE C - 10.13 Production of meat and poultry meat products</t>
  </si>
  <si>
    <t>NACE C - 24.1 Manufacture of basic iron and steel and of ferro-alloys</t>
  </si>
  <si>
    <t>Guam</t>
  </si>
  <si>
    <t>country:GU</t>
  </si>
  <si>
    <t xml:space="preserve">    03 03 09 - Non-Hazardous - Lime mud waste</t>
  </si>
  <si>
    <t>15 WASTE PACKAGING; ABSORBENTS, WIPING CLOTHS, FILTER MATERIALS AND PROTECTIVE CLOTHING NOT OTHERWISE SPECIFIED</t>
  </si>
  <si>
    <t>MRU</t>
  </si>
  <si>
    <t>NACE C - 24.2 Manufacture of tubes, pipes, hollow profiles and related fittings, of steel</t>
  </si>
  <si>
    <t>Guinea-Bissau</t>
  </si>
  <si>
    <t>country:GW</t>
  </si>
  <si>
    <t xml:space="preserve">    03 03 10 - Non-Hazardous - Fibre rejects, fibre-, filler- and coating-sludges from mechanical separation</t>
  </si>
  <si>
    <t xml:space="preserve">    1501 Packaging</t>
  </si>
  <si>
    <t>MUR</t>
  </si>
  <si>
    <t>NACE C - 10.20 Processing and preserving of fish, crustaceans and molluscs</t>
  </si>
  <si>
    <t>NACE C - 24.3 Manufacture of other products of first processing of steel</t>
  </si>
  <si>
    <t>Guyana</t>
  </si>
  <si>
    <t>country:GY</t>
  </si>
  <si>
    <t xml:space="preserve">    03 03 11 - Non-Hazardous - Sludges from on-site effluent treatment other than those mentioned in 03 03 10</t>
  </si>
  <si>
    <t xml:space="preserve">    1502 Absorbents, filter materials, wiping cloths and protective clothing</t>
  </si>
  <si>
    <t>MVR</t>
  </si>
  <si>
    <t>NACE C - 24.4 Manufacture of basic precious and other non-ferrous metals</t>
  </si>
  <si>
    <t>Hong Kong</t>
  </si>
  <si>
    <t>country:HK</t>
  </si>
  <si>
    <t xml:space="preserve">    03 03 99 - Non-Hazardous - Wastes not otherwise specified</t>
  </si>
  <si>
    <t>16 WASTES NOT OTHERWISE SPECIFIED IN THE LIST</t>
  </si>
  <si>
    <t>MWK</t>
  </si>
  <si>
    <t>NACE C - 10.31 Processing and preserving of potatoes</t>
  </si>
  <si>
    <t>NACE C - 24.5 Casting of metals</t>
  </si>
  <si>
    <t>Heard Island and McDonald Islands</t>
  </si>
  <si>
    <t>country:HM</t>
  </si>
  <si>
    <t>04 - WASTES FROM THE LEATHER, FUR AND TEXTILE INDUSTRIES</t>
  </si>
  <si>
    <t xml:space="preserve">    1601 End-of-life vehicles and their components</t>
  </si>
  <si>
    <t>MXN</t>
  </si>
  <si>
    <t>NACE C - 10.32 Manufacture of fruit and vegetable juice</t>
  </si>
  <si>
    <t>NACE C - 25 Manufacture of fabricated metal products, except machinery and equipment</t>
  </si>
  <si>
    <t>Honduras</t>
  </si>
  <si>
    <t>country:HN</t>
  </si>
  <si>
    <t xml:space="preserve">  04 01 - Wastes from the leather and fur industry</t>
  </si>
  <si>
    <t xml:space="preserve">    1602 Discarded equipment and its components</t>
  </si>
  <si>
    <t>MXV</t>
  </si>
  <si>
    <t>NACE C - 10.39 Other processing and preserving of fruit and vegetables</t>
  </si>
  <si>
    <t>NACE C - 25.1 Manufacture of structural metal products</t>
  </si>
  <si>
    <t>Croatia</t>
  </si>
  <si>
    <t>country:HR</t>
  </si>
  <si>
    <t xml:space="preserve">    04 01 01 - Non-Hazardous - Fleshings and lime split wastes</t>
  </si>
  <si>
    <t xml:space="preserve">    1603 Off-specification batches</t>
  </si>
  <si>
    <t>MYR</t>
  </si>
  <si>
    <t>NACE C - 25.2 Manufacture of tanks, reservoirs and containers of metal</t>
  </si>
  <si>
    <t>Haiti</t>
  </si>
  <si>
    <t>country:HT</t>
  </si>
  <si>
    <t xml:space="preserve">    04 01 02 - Non-Hazardous - Liming waste</t>
  </si>
  <si>
    <t xml:space="preserve">    1604 Waste explosives</t>
  </si>
  <si>
    <t>MZN</t>
  </si>
  <si>
    <t>NACE C - 10.41 Manufacture of oils and fats</t>
  </si>
  <si>
    <t>NACE C - 25.3 Manufacture of weapons and ammunition</t>
  </si>
  <si>
    <t>Hungary</t>
  </si>
  <si>
    <t>country:HU</t>
  </si>
  <si>
    <t xml:space="preserve">    04 01 03 - Hazardous - Degreasing wastes containing solvents without a liquid phase</t>
  </si>
  <si>
    <t xml:space="preserve">    1605 Chemicals and gases in containers</t>
  </si>
  <si>
    <t>NAD</t>
  </si>
  <si>
    <t>NACE C - 10.42 Manufacture of margarine and similar edible fats</t>
  </si>
  <si>
    <t>NACE C - 25.4 Forging and shaping metal and powder metallurgy</t>
  </si>
  <si>
    <t>Indonesia</t>
  </si>
  <si>
    <t>country:ID</t>
  </si>
  <si>
    <t xml:space="preserve">    04 01 04 - Non-Hazardous - Tanning liquor containing chromium</t>
  </si>
  <si>
    <t xml:space="preserve">    1606 Batteries and accumulators</t>
  </si>
  <si>
    <t>NGN</t>
  </si>
  <si>
    <t>NACE C - 25.5 Treatment and coating of metals; machining</t>
  </si>
  <si>
    <t>Ireland</t>
  </si>
  <si>
    <t>country:IE</t>
  </si>
  <si>
    <t xml:space="preserve">    04 01 05 - Non-Hazardous - Tanning liquor free of chromium</t>
  </si>
  <si>
    <t xml:space="preserve">    1607 Wastes from transport and storage tank cleaning (except wastes from petroleum refining, natural gas purification and pyrolytic treatment of coal and wastes from shaping and surface treatment of metals and plastics)</t>
  </si>
  <si>
    <t>NIO</t>
  </si>
  <si>
    <t>NACE C - 10.51 Manufacture of dairy products</t>
  </si>
  <si>
    <t>NACE C - 25.6 Manufacture of cutlery, tools and general hardware</t>
  </si>
  <si>
    <t>Israel</t>
  </si>
  <si>
    <t>country:IL</t>
  </si>
  <si>
    <t xml:space="preserve">    04 01 06 - Non-Hazardous - Sludges, in particular from on-site effluent treatment containing chromium</t>
  </si>
  <si>
    <t xml:space="preserve">    1608 Spent catalysts</t>
  </si>
  <si>
    <t>NOK</t>
  </si>
  <si>
    <t>NACE C - 10.52 Manufacture of ice cream and other edible ice</t>
  </si>
  <si>
    <t>NACE C - 25.9 Manufacture of other fabricated metal products</t>
  </si>
  <si>
    <t>Isle of Man</t>
  </si>
  <si>
    <t>country:IM</t>
  </si>
  <si>
    <t xml:space="preserve">    04 01 07 - Non-Hazardous - Sludges, in particular from on-site effluent treatment free of chromium</t>
  </si>
  <si>
    <t>17 CONSTRUCTION AND DEMOLITION WASTES (INCLUDING ROAD CONSTRUCTION)</t>
  </si>
  <si>
    <t>NPR</t>
  </si>
  <si>
    <t>NACE C - 26 Manufacture of computer, electronic and optical products</t>
  </si>
  <si>
    <t>India</t>
  </si>
  <si>
    <t>country:IN</t>
  </si>
  <si>
    <t xml:space="preserve">    04 01 08 - Non-Hazardous - Waste tanned leather (blue sheetings, shavings, cuttings, buffing dust) containing chromium</t>
  </si>
  <si>
    <t xml:space="preserve">    1701 Concrete, bricks, tiles, ceramics, and gypsum-based materials</t>
  </si>
  <si>
    <t>NZD</t>
  </si>
  <si>
    <t>NACE C - 10.61 Manufacture of grain mill products</t>
  </si>
  <si>
    <t>NACE C - 26.1 Manufacture of electronic components and boards</t>
  </si>
  <si>
    <t>British Indian Ocean Territory</t>
  </si>
  <si>
    <t>country:IO</t>
  </si>
  <si>
    <t xml:space="preserve">    04 01 09 - Non-Hazardous - Wastes from dressing and finishing</t>
  </si>
  <si>
    <t xml:space="preserve">    1702 Wood, glass and plastic</t>
  </si>
  <si>
    <t>OMR</t>
  </si>
  <si>
    <t>NACE C - 10.62 Manufacture of starches and starch products</t>
  </si>
  <si>
    <t>NACE C - 26.2 Manufacture of computers and peripheral equipment</t>
  </si>
  <si>
    <t>Iraq</t>
  </si>
  <si>
    <t>country:IQ</t>
  </si>
  <si>
    <t xml:space="preserve">    04 01 99 - Non-Hazardous - Wastes not otherwise specified</t>
  </si>
  <si>
    <t xml:space="preserve">    1703 Asphalt, tar and tarred products</t>
  </si>
  <si>
    <t>PAB</t>
  </si>
  <si>
    <t>NACE C - 26.3 Manufacture of communication equipment</t>
  </si>
  <si>
    <t>Iran (Islamic Republic of)</t>
  </si>
  <si>
    <t>country:IR</t>
  </si>
  <si>
    <t xml:space="preserve">  04 02 - Wastes from the textile industry</t>
  </si>
  <si>
    <t xml:space="preserve">    1704 Metals (including their alloys)</t>
  </si>
  <si>
    <t>PEN</t>
  </si>
  <si>
    <t>NACE C - 10.71 Manufacture of bread; manufacture of fresh pastry goods and cakes</t>
  </si>
  <si>
    <t>NACE C - 26.4 Manufacture of consumer electronics</t>
  </si>
  <si>
    <t>Iceland</t>
  </si>
  <si>
    <t>country:IS</t>
  </si>
  <si>
    <t xml:space="preserve">    04 02 09 - Non-Hazardous - Wastes from composite materials (impregnated textile, elastomer, plastomer)</t>
  </si>
  <si>
    <t xml:space="preserve">    1705 Soil and dredging spoil</t>
  </si>
  <si>
    <t>PGK</t>
  </si>
  <si>
    <t>NACE C - 10.72 Manufacture of rusks, biscuits, preserved pastries and cakes</t>
  </si>
  <si>
    <t>NACE C - 26.5 Manufacture of measuring testing instruments, clocks and watches</t>
  </si>
  <si>
    <t>Italy</t>
  </si>
  <si>
    <t>country:IT</t>
  </si>
  <si>
    <t xml:space="preserve">    04 02 10 - Non-Hazardous - Organic matter from natural products (for example grease, wax)</t>
  </si>
  <si>
    <t xml:space="preserve">    1706 Insulation materials</t>
  </si>
  <si>
    <t>PHP</t>
  </si>
  <si>
    <t>NACE C - 10.73 Manufacture of farinaceous products</t>
  </si>
  <si>
    <t>NACE C - 26.6 Manufacture of irradiation, electromedical and electrotherapeutic equipment</t>
  </si>
  <si>
    <t>Jersey</t>
  </si>
  <si>
    <t>country:JE</t>
  </si>
  <si>
    <t xml:space="preserve">    04 02 14 - Hazardous - Wastes from finishing containing organic solvents</t>
  </si>
  <si>
    <t xml:space="preserve">    1707 Mixed construction and demolition waste</t>
  </si>
  <si>
    <t>PKR</t>
  </si>
  <si>
    <t>NACE C - 26.7 Manufacture of optical instruments, magnetic and optical media and photographic equipment</t>
  </si>
  <si>
    <t>Jamaica</t>
  </si>
  <si>
    <t>country:JM</t>
  </si>
  <si>
    <t xml:space="preserve">    04 02 15 - Non-Hazardous - Wastes from finishing other than those mentioned in 04 02 14</t>
  </si>
  <si>
    <t>18 WASTES FROM HUMAN OR ANIMAL HEALTH CARE AND/OR RELATED RESEARCH (except kitchen and restaurant wastes not arising from immediate health care)</t>
  </si>
  <si>
    <t>PLN</t>
  </si>
  <si>
    <t>NACE C - 10.81 Manufacture of sugar</t>
  </si>
  <si>
    <t>NACE C - 27 Manufacture of electrical equipment</t>
  </si>
  <si>
    <t>Jordan</t>
  </si>
  <si>
    <t>country:JO</t>
  </si>
  <si>
    <t xml:space="preserve">    04 02 16 - Hazardous - Dyestuffs and pigments containing hazardous substances</t>
  </si>
  <si>
    <t xml:space="preserve">    1801 Wastes from natal care, diagnosis, treatment or prevention of disease in humans</t>
  </si>
  <si>
    <t>PYG</t>
  </si>
  <si>
    <t>NACE C - 10.82 Manufacture of cocoa, chocolate and sugar confectionery</t>
  </si>
  <si>
    <t>NACE C - 27.1 Manufacture of electric motors, generators, transformers and electricity distribution and control apparatus</t>
  </si>
  <si>
    <t>Japan</t>
  </si>
  <si>
    <t>country:JP</t>
  </si>
  <si>
    <t xml:space="preserve">    04 02 17 - Non-Hazardous - Dyestuffs and pigments other than those mentioned in 04 02 16</t>
  </si>
  <si>
    <t xml:space="preserve">    1802 Wastes from research, diagnosis, treatment or prevention of disease involving animals</t>
  </si>
  <si>
    <t>QAR</t>
  </si>
  <si>
    <t>NACE C - 10.83 Processing of tea and coffee</t>
  </si>
  <si>
    <t>NACE C - 27.2 Manufacture of batteries and accumulators</t>
  </si>
  <si>
    <t>Kenya</t>
  </si>
  <si>
    <t>country:KE</t>
  </si>
  <si>
    <t xml:space="preserve">    04 02 19 - Hazardous - Sludges from on-site effluent treatment containing hazardous substances</t>
  </si>
  <si>
    <t>19 WASTES FROM WASTE TREATMENT FACILITIES, OFF-SITE WASTE WATER TREATMENT PLANTS AND THE WATER INDUSTRY</t>
  </si>
  <si>
    <t>RON</t>
  </si>
  <si>
    <t>NACE C - 10.84 Manufacture of condiments and seasonings</t>
  </si>
  <si>
    <t>NACE C - 27.3 Manufacture of wiring and wiring devices</t>
  </si>
  <si>
    <t>Kyrgyzstan</t>
  </si>
  <si>
    <t>country:KG</t>
  </si>
  <si>
    <t xml:space="preserve">    04 02 20 - Non-Hazardous - Sludges from on-site effluent treatment other than those mentioned in 04 02 19</t>
  </si>
  <si>
    <t xml:space="preserve">    1901 Wastes from incineration or pyrolysis of waste</t>
  </si>
  <si>
    <t>RSD</t>
  </si>
  <si>
    <t>NACE C - 10.85 Manufacture of prepared meals and dishes</t>
  </si>
  <si>
    <t>NACE C - 27.4 Manufacture of lighting equipment</t>
  </si>
  <si>
    <t>Cambodia</t>
  </si>
  <si>
    <t>country:KH</t>
  </si>
  <si>
    <t xml:space="preserve">    04 02 21 - Non-Hazardous - Wastes from unprocessed textile fibres</t>
  </si>
  <si>
    <t xml:space="preserve">    1902 Wastes from specific physico/chemical treatments of industrial waste, (e.g. dechromatation, decyanidation, neutralisation)</t>
  </si>
  <si>
    <t>RUB</t>
  </si>
  <si>
    <t>NACE C - 10.86 Manufacture of homogenised food preparations and dietetic food</t>
  </si>
  <si>
    <t>NACE C - 27.5 Manufacture of domestic appliances</t>
  </si>
  <si>
    <t>Kiribati</t>
  </si>
  <si>
    <t>country:KI</t>
  </si>
  <si>
    <t xml:space="preserve">    04 02 22 - Non-Hazardous - Wastes from processed textile fibres</t>
  </si>
  <si>
    <t xml:space="preserve">    1903 Stabilised/solidified wastes</t>
  </si>
  <si>
    <t>RWF</t>
  </si>
  <si>
    <t>NACE C - 10.89 Manufacture of other food products n.e.c.</t>
  </si>
  <si>
    <t>NACE C - 27.9 Manufacture of other electrical equipment</t>
  </si>
  <si>
    <t>Comoros</t>
  </si>
  <si>
    <t>country:KM</t>
  </si>
  <si>
    <t xml:space="preserve">    04 02 99 - Non-Hazardous - Wastes not otherwise specified</t>
  </si>
  <si>
    <t xml:space="preserve">    1904 Vitrified waste and wastes from vitrification</t>
  </si>
  <si>
    <t>SAR</t>
  </si>
  <si>
    <t>NACE C - 28 Manufacture of machinery and equipment n.e.c.</t>
  </si>
  <si>
    <t>Saint Kitts and Nevis</t>
  </si>
  <si>
    <t>country:KN</t>
  </si>
  <si>
    <t>05 - WASTES FROM PETROLEUM REFINING, NATURAL GAS PURIFICATION AND PYROLYTIC TREATMENT OF COAL</t>
  </si>
  <si>
    <t xml:space="preserve">    1905 Wastes from aerobic treatment of solid wastes</t>
  </si>
  <si>
    <t>SBD</t>
  </si>
  <si>
    <t>NACE C - 10.91 Manufacture of prepared feeds for farm animals</t>
  </si>
  <si>
    <t>NACE C - 28.1 Manufacture of general-purpose machinery</t>
  </si>
  <si>
    <t>Korea (the Democratic People's Republic of)</t>
  </si>
  <si>
    <t>country:KP</t>
  </si>
  <si>
    <t xml:space="preserve">  05 01 - Wastes from petroleum refining</t>
  </si>
  <si>
    <t xml:space="preserve">    1906 Wastes from anaerobic treatment of waste</t>
  </si>
  <si>
    <t>SCR</t>
  </si>
  <si>
    <t>NACE C - 10.92 Manufacture of prepared pet foods</t>
  </si>
  <si>
    <t>NACE C - 28.2 Manufacture of other general-purpose machinery</t>
  </si>
  <si>
    <t>Korea (the Republic of)</t>
  </si>
  <si>
    <t>country:KR</t>
  </si>
  <si>
    <t xml:space="preserve">    05 01 02 - Hazardous - Desalter sludges</t>
  </si>
  <si>
    <t xml:space="preserve">    1907 Landfill leachate</t>
  </si>
  <si>
    <t>SDG</t>
  </si>
  <si>
    <t>NACE C - 28.3 Manufacture of agricultural and forestry machinery</t>
  </si>
  <si>
    <t>Kuwait</t>
  </si>
  <si>
    <t>country:KW</t>
  </si>
  <si>
    <t xml:space="preserve">    05 01 03 - Hazardous - Tank bottom sludges</t>
  </si>
  <si>
    <t xml:space="preserve">    1908 Wastes from waste water treatment plants not otherwise specified</t>
  </si>
  <si>
    <t>SEK</t>
  </si>
  <si>
    <t>NACE C - 28.4 Manufacture of metal forming machinery and machine tools</t>
  </si>
  <si>
    <t>Cayman Islands</t>
  </si>
  <si>
    <t>country:KY</t>
  </si>
  <si>
    <t xml:space="preserve">    05 01 04 - Hazardous - Acid alkyl sludges</t>
  </si>
  <si>
    <t xml:space="preserve">    1909 Wastes from the preparation of drinking water or water for industrial use</t>
  </si>
  <si>
    <t>SGD</t>
  </si>
  <si>
    <t>NACE C - 11.01 Distilling, rectifying and blending of spirits</t>
  </si>
  <si>
    <t>NACE C - 28.9 Manufacture of other special-purpose machinery</t>
  </si>
  <si>
    <t>Kazakhstan</t>
  </si>
  <si>
    <t>country:KZ</t>
  </si>
  <si>
    <t xml:space="preserve">    05 01 05 - Hazardous - Oil spills</t>
  </si>
  <si>
    <t xml:space="preserve">    1910 Wastes from shredding of metal-containing waste</t>
  </si>
  <si>
    <t>SHP</t>
  </si>
  <si>
    <t>NACE C - 11.02 Manufacture of wine from grape</t>
  </si>
  <si>
    <t>NACE C - 29 Manufacture of motor vehicles, trailers and semi-trailers</t>
  </si>
  <si>
    <t>Lao People's Democratic Republic</t>
  </si>
  <si>
    <t>country:LA</t>
  </si>
  <si>
    <t xml:space="preserve">    05 01 06 - Hazardous - Oily sludges from maintenance operations of the plant or equipment</t>
  </si>
  <si>
    <t>20 MUNICIPAL WASTES AND SIMILAR COMMERCIAL, INDUSTRIAL AND INSTITUTIONAL WASTES INCLUDING SEPARATELY COLLECTED FRACTIONS</t>
  </si>
  <si>
    <t>SLL</t>
  </si>
  <si>
    <t>NACE C - 11.03 Manufacture of cider and other fermented fruit beverages</t>
  </si>
  <si>
    <t>NACE C - 29.1 Manufacture of motor vehicles</t>
  </si>
  <si>
    <t>Lebanon</t>
  </si>
  <si>
    <t>country:LB</t>
  </si>
  <si>
    <t xml:space="preserve">    05 01 07 - Hazardous - Acid tars</t>
  </si>
  <si>
    <t xml:space="preserve">    2001 Separately collected fractions</t>
  </si>
  <si>
    <t>SOS</t>
  </si>
  <si>
    <t>NACE C - 11.04 Manufacture of other non-distilled fermented beverages</t>
  </si>
  <si>
    <t>NACE C - 29.2 Manufacture of bodies and coachwork for motor vehicles; manufacture of trailers and semi-trailers</t>
  </si>
  <si>
    <t>Saint Lucia</t>
  </si>
  <si>
    <t>country:LC</t>
  </si>
  <si>
    <t xml:space="preserve">    05 01 08 - Hazardous - Other tars</t>
  </si>
  <si>
    <t xml:space="preserve">    2002 Garden and park wastes (including cemetery waste)</t>
  </si>
  <si>
    <t>SRD</t>
  </si>
  <si>
    <t>NACE C - 11.05 Manufacture of beer</t>
  </si>
  <si>
    <t>NACE C - 29.3 Manufacture of motor vehicle parts and accessories</t>
  </si>
  <si>
    <t>Liechtenstein</t>
  </si>
  <si>
    <t>country:LI</t>
  </si>
  <si>
    <t xml:space="preserve">    05 01 09 - Hazardous - Sludges from on-site effluent treatment containing hazardous substances</t>
  </si>
  <si>
    <t xml:space="preserve">    2003 Other municipal wastes</t>
  </si>
  <si>
    <t>SSP</t>
  </si>
  <si>
    <t>NACE C - 11.06 Manufacture of malt</t>
  </si>
  <si>
    <t>NACE C - 30 Manufacture of other transport equipment</t>
  </si>
  <si>
    <t>Sri Lanka</t>
  </si>
  <si>
    <t>country:LK</t>
  </si>
  <si>
    <t xml:space="preserve">    05 01 10 - Non-Hazardous - Sludges from on-site effluent treatment other than those mentioned in 05 01 09</t>
  </si>
  <si>
    <t>STD</t>
  </si>
  <si>
    <t>NACE C - 11.07 Manufacture of soft drinks and bottled waters</t>
  </si>
  <si>
    <t>NACE C - 30.1 Building of ships and boats</t>
  </si>
  <si>
    <t>Liberia</t>
  </si>
  <si>
    <t>country:LR</t>
  </si>
  <si>
    <t xml:space="preserve">    05 01 11 - Hazardous - Wastes from cleaning of fuels with bases</t>
  </si>
  <si>
    <t>SVC</t>
  </si>
  <si>
    <t>NACE C - 30.2 Manufacture of railway locomotives and rolling stock</t>
  </si>
  <si>
    <t>Lesotho</t>
  </si>
  <si>
    <t>country:LS</t>
  </si>
  <si>
    <t xml:space="preserve">    05 01 12 - Hazardous - Oil containing acids</t>
  </si>
  <si>
    <t>SYP</t>
  </si>
  <si>
    <t>NACE C - 30.3 Manufacture of air and spacecraft and related machinery</t>
  </si>
  <si>
    <t>Lithuania</t>
  </si>
  <si>
    <t>country:LT</t>
  </si>
  <si>
    <t xml:space="preserve">    05 01 13 - Non-Hazardous - Boiler feedwater sludges</t>
  </si>
  <si>
    <t>SZL</t>
  </si>
  <si>
    <t>NACE C - 12.00 Manufacture of tobacco products</t>
  </si>
  <si>
    <t>NACE C - 30.4 Manufacture of military fighting vehicles</t>
  </si>
  <si>
    <t>Luxembourg</t>
  </si>
  <si>
    <t>country:LU</t>
  </si>
  <si>
    <t xml:space="preserve">    05 01 14 - Non-Hazardous - Wastes from cooling columns</t>
  </si>
  <si>
    <t>THB</t>
  </si>
  <si>
    <t>NACE C - 30.9 Manufacture of transport equipment n.e.c.</t>
  </si>
  <si>
    <t>Latvia</t>
  </si>
  <si>
    <t>country:LV</t>
  </si>
  <si>
    <t xml:space="preserve">    05 01 15 - Hazardous - Spent filter clays</t>
  </si>
  <si>
    <t>TJS</t>
  </si>
  <si>
    <t>NACE C - 31 Manufacture of furniture</t>
  </si>
  <si>
    <t>Libya</t>
  </si>
  <si>
    <t>country:LY</t>
  </si>
  <si>
    <t xml:space="preserve">    05 01 16 - Non-Hazardous - Sulphur-containing wastes from petroleum desulphurisation</t>
  </si>
  <si>
    <t>TMT</t>
  </si>
  <si>
    <t>NACE C - 13.10 Preparation and spinning of textile fibres</t>
  </si>
  <si>
    <t>NACE C - 31.0 Manufacture of furniture</t>
  </si>
  <si>
    <t>Morocco</t>
  </si>
  <si>
    <t>country:MA</t>
  </si>
  <si>
    <t xml:space="preserve">    05 01 17 - Non-Hazardous - Bitumen</t>
  </si>
  <si>
    <t>TND</t>
  </si>
  <si>
    <t>NACE C - 32 Other manufacturing</t>
  </si>
  <si>
    <t>Monaco</t>
  </si>
  <si>
    <t>country:MC</t>
  </si>
  <si>
    <t xml:space="preserve">    05 01 99 - Non-Hazardous - Wastes not otherwise specified</t>
  </si>
  <si>
    <t>TOP</t>
  </si>
  <si>
    <t>NACE C - 13.20 Weaving of textiles</t>
  </si>
  <si>
    <t>NACE C - 32.1 Manufacture of jewellery, bijouterie and related articles</t>
  </si>
  <si>
    <t>Moldova (the Republic of)</t>
  </si>
  <si>
    <t>country:MD</t>
  </si>
  <si>
    <t xml:space="preserve">  05 06 - Wastes from the pyrolytic treatment of coal</t>
  </si>
  <si>
    <t>TRY</t>
  </si>
  <si>
    <t>NACE C - 32.2 Manufacture of musical instruments</t>
  </si>
  <si>
    <t>Montenegro</t>
  </si>
  <si>
    <t>country:ME</t>
  </si>
  <si>
    <t xml:space="preserve">    05 06 01 - Hazardous - Acid tars</t>
  </si>
  <si>
    <t>TTD</t>
  </si>
  <si>
    <t>NACE C - 13.30 Finishing of textiles</t>
  </si>
  <si>
    <t>NACE C - 32.3 Manufacture of sports goods</t>
  </si>
  <si>
    <t>Saint Martin (French part)</t>
  </si>
  <si>
    <t>country:MF</t>
  </si>
  <si>
    <t xml:space="preserve">    05 06 03 - Hazardous - Other tars</t>
  </si>
  <si>
    <t>TWD</t>
  </si>
  <si>
    <t>NACE C - 32.4 Manufacture of games and toys</t>
  </si>
  <si>
    <t>Madagascar</t>
  </si>
  <si>
    <t>country:MG</t>
  </si>
  <si>
    <t xml:space="preserve">    05 06 04 - Non-Hazardous - Waste from cooling columns</t>
  </si>
  <si>
    <t>TZS</t>
  </si>
  <si>
    <t>NACE C - 13.91 Manufacture of knitted and crocheted fabrics</t>
  </si>
  <si>
    <t>NACE C - 32.5 Manufacture of medical and dental instruments and supplies</t>
  </si>
  <si>
    <t>Marshall Islands</t>
  </si>
  <si>
    <t>country:MH</t>
  </si>
  <si>
    <t xml:space="preserve">    05 06 99 - Non-Hazardous - Wastes not otherwise specified</t>
  </si>
  <si>
    <t>UAH</t>
  </si>
  <si>
    <t>NACE C - 13.92 Manufacture of household textiles and made-up furnishing articles</t>
  </si>
  <si>
    <t>NACE C - 32.9 Manufacturing n.e.c.</t>
  </si>
  <si>
    <t>North Macedonia</t>
  </si>
  <si>
    <t>country:MK</t>
  </si>
  <si>
    <t xml:space="preserve">  05 07 - Wastes from natural gas purification and transportation</t>
  </si>
  <si>
    <t>UGX</t>
  </si>
  <si>
    <t>NACE C - 13.93 Manufacture of carpets and rugs</t>
  </si>
  <si>
    <t>NACE C - 33 Repair, maintenance and installation of machinery and equipment</t>
  </si>
  <si>
    <t>Mali</t>
  </si>
  <si>
    <t>country:ML</t>
  </si>
  <si>
    <t xml:space="preserve">    05 07 01 - Hazardous - Wastes containing mercury</t>
  </si>
  <si>
    <t>USD</t>
  </si>
  <si>
    <t>NACE C - 13.94 Manufacture of cordage, rope, twine and netting</t>
  </si>
  <si>
    <t>NACE C - 33.1 Repair and maintenance of fabricated metal products, machinery and equipment</t>
  </si>
  <si>
    <t>Myanmar</t>
  </si>
  <si>
    <t>country:MM</t>
  </si>
  <si>
    <t xml:space="preserve">    05 07 02 - Non-Hazardous - Wastes containing sulphur</t>
  </si>
  <si>
    <t>UYI</t>
  </si>
  <si>
    <t>NACE C - 13.95 Manufacture of non-wovens and non-woven articles</t>
  </si>
  <si>
    <t>NACE C - 33.2 Installation of industrial machinery and equipment</t>
  </si>
  <si>
    <t>Mongolia</t>
  </si>
  <si>
    <t>country:MN</t>
  </si>
  <si>
    <t xml:space="preserve">    05 07 99 - Non-Hazardous - Wastes not otherwise specified</t>
  </si>
  <si>
    <t>UYU</t>
  </si>
  <si>
    <t>NACE C - 13.96 Manufacture of other technical and industrial textiles</t>
  </si>
  <si>
    <t>Macao</t>
  </si>
  <si>
    <t>country:MO</t>
  </si>
  <si>
    <t>06 - WASTES FROM INORGANIC CHEMICAL PROCESSES</t>
  </si>
  <si>
    <t>UZS</t>
  </si>
  <si>
    <t>NACE C - 13.99 Manufacture of other textiles n.e.c.</t>
  </si>
  <si>
    <t>NACE D - 35 Electricity, gas, steam and air conditioning supply</t>
  </si>
  <si>
    <t>Northern Mariana Islands</t>
  </si>
  <si>
    <t>country:MP</t>
  </si>
  <si>
    <t xml:space="preserve">  06 01 - Wastes from the manufacture, formulation, supply and use (MFSU) of acids</t>
  </si>
  <si>
    <t>VES</t>
  </si>
  <si>
    <t>NACE D - 35.1 Electric power generation, transmission and distribution</t>
  </si>
  <si>
    <t>Martinique</t>
  </si>
  <si>
    <t>country:MQ</t>
  </si>
  <si>
    <t xml:space="preserve">    06 01 01 - Hazardous - Sulphuric acid and sulphurous acid</t>
  </si>
  <si>
    <t>VND</t>
  </si>
  <si>
    <t>NACE D - 35.2 Manufacture of gas, and distribution of gaseous fuels through mains</t>
  </si>
  <si>
    <t>Mauritania</t>
  </si>
  <si>
    <t>country:MR</t>
  </si>
  <si>
    <t xml:space="preserve">    06 01 02 - Hazardous - Hydrochloric acid</t>
  </si>
  <si>
    <t>VUV</t>
  </si>
  <si>
    <t>NACE C - 14.10 Manufacture of knitted and crocheted apparel</t>
  </si>
  <si>
    <t>NACE D - 35.3 Steam and air conditioning supply</t>
  </si>
  <si>
    <t>Montserrat</t>
  </si>
  <si>
    <t>country:MS</t>
  </si>
  <si>
    <t xml:space="preserve">    06 01 03 - Hazardous - Hydrofluoric acid</t>
  </si>
  <si>
    <t>WST</t>
  </si>
  <si>
    <t>NACE D - 35.4 Activities of brokers and agents for electric power and natural gas</t>
  </si>
  <si>
    <t>Malta</t>
  </si>
  <si>
    <t>country:MT</t>
  </si>
  <si>
    <t xml:space="preserve">    06 01 04 - Hazardous - Phosphoric and phosphorous acid</t>
  </si>
  <si>
    <t>XAF</t>
  </si>
  <si>
    <t>NACE C - 14.21 Manufacture of outerwear</t>
  </si>
  <si>
    <t>NACE D - ELECTRICITY, GAS, STEAM AND AIR CONDITIONING SUPPLY</t>
  </si>
  <si>
    <t>Mauritius</t>
  </si>
  <si>
    <t>country:MU</t>
  </si>
  <si>
    <t xml:space="preserve">    06 01 05 - Hazardous - Nitric acid and nitrous acid</t>
  </si>
  <si>
    <t>XAG</t>
  </si>
  <si>
    <t>NACE C - 14.22 Manufacture of underwear</t>
  </si>
  <si>
    <t>NACE E - 36 Water collection, treatment and supply</t>
  </si>
  <si>
    <t>Maldives</t>
  </si>
  <si>
    <t>country:MV</t>
  </si>
  <si>
    <t xml:space="preserve">    06 01 06 - Hazardous - Other acids</t>
  </si>
  <si>
    <t>XAU</t>
  </si>
  <si>
    <t>NACE C - 14.23 Manufacture of workwear</t>
  </si>
  <si>
    <t>NACE E - 36.0 Water collection, treatment and supply</t>
  </si>
  <si>
    <t>Malawi</t>
  </si>
  <si>
    <t>country:MW</t>
  </si>
  <si>
    <t xml:space="preserve">    06 01 99 - Non-Hazardous - Wastes not otherwise specified</t>
  </si>
  <si>
    <t>XCD</t>
  </si>
  <si>
    <t>NACE C - 14.24 Manufacture of leather clothes and fur apparel</t>
  </si>
  <si>
    <t>NACE E - 37 Sewerage</t>
  </si>
  <si>
    <t>Mexico</t>
  </si>
  <si>
    <t>country:MX</t>
  </si>
  <si>
    <t xml:space="preserve">  06 02 - Wastes from the MFSU of bases</t>
  </si>
  <si>
    <t>XDR</t>
  </si>
  <si>
    <t>NACE C - 14.29 Manufacture of other wearing apparel and accessories n.e.c.</t>
  </si>
  <si>
    <t>NACE E - 37.0 Sewerage</t>
  </si>
  <si>
    <t>Malaysia</t>
  </si>
  <si>
    <t>country:MY</t>
  </si>
  <si>
    <t xml:space="preserve">    06 02 01 - Hazardous - Calcium hydroxide</t>
  </si>
  <si>
    <t>XOF</t>
  </si>
  <si>
    <t>NACE E - 38 Waste collection, recovery and disposal activities</t>
  </si>
  <si>
    <t>Mozambique</t>
  </si>
  <si>
    <t>country:MZ</t>
  </si>
  <si>
    <t xml:space="preserve">    06 02 03 - Hazardous - Ammonium hydroxide</t>
  </si>
  <si>
    <t>XPD</t>
  </si>
  <si>
    <t>NACE E - 38.1 Waste collection</t>
  </si>
  <si>
    <t>Namibia</t>
  </si>
  <si>
    <t>country:NA</t>
  </si>
  <si>
    <t xml:space="preserve">    06 02 04 - Hazardous - Sodium and potassium hydroxide</t>
  </si>
  <si>
    <t>XPF</t>
  </si>
  <si>
    <t>NACE C - 15.11 Tanning, dressing, dyeing of leather and fur</t>
  </si>
  <si>
    <t>NACE E - 38.2 Waste recovery</t>
  </si>
  <si>
    <t>New Caledonia</t>
  </si>
  <si>
    <t>country:NC</t>
  </si>
  <si>
    <t xml:space="preserve">    06 02 05 - Hazardous - Other bases</t>
  </si>
  <si>
    <t>XPT</t>
  </si>
  <si>
    <t>NACE C - 15.12 Manufacture of luggage, handbags, saddlery and harness of any material</t>
  </si>
  <si>
    <t>NACE E - 38.3 Waste disposal without recovery</t>
  </si>
  <si>
    <t>Niger</t>
  </si>
  <si>
    <t>country:NE</t>
  </si>
  <si>
    <t xml:space="preserve">    06 02 99 - Non-Hazardous - Wastes not otherwise specified</t>
  </si>
  <si>
    <t>XSU</t>
  </si>
  <si>
    <t>NACE E - 39 Remediation activities and other waste management service activities</t>
  </si>
  <si>
    <t>Norfolk Island</t>
  </si>
  <si>
    <t>country:NF</t>
  </si>
  <si>
    <t xml:space="preserve">  06 03 - Wastes from the MFSU of salts and their solutions and metallic oxides</t>
  </si>
  <si>
    <t>XUA</t>
  </si>
  <si>
    <t>NACE C - 15.20 Manufacture of footwear</t>
  </si>
  <si>
    <t>NACE E - 39.0 Remediation activities and other waste management service activities</t>
  </si>
  <si>
    <t>Nigeria</t>
  </si>
  <si>
    <t>country:NG</t>
  </si>
  <si>
    <t xml:space="preserve">    06 03 11 - Hazardous - Solid salts and solutions containing cyanides</t>
  </si>
  <si>
    <t>YER</t>
  </si>
  <si>
    <t>NACE E - WATER SUPPLY; SEWERAGE, WASTE MANAGEMENT AND REMEDIATION ACTIVITIES</t>
  </si>
  <si>
    <t>Nicaragua</t>
  </si>
  <si>
    <t>country:NI</t>
  </si>
  <si>
    <t xml:space="preserve">    06 03 13 - Hazardous - Solid salts and solutions containing heavy metals</t>
  </si>
  <si>
    <t>ZAR</t>
  </si>
  <si>
    <t>NACE F - 41 Construction of residential and non-residential buildings</t>
  </si>
  <si>
    <t>Netherlands (Kingdom of the)</t>
  </si>
  <si>
    <t>country:NL</t>
  </si>
  <si>
    <t xml:space="preserve">    06 03 14 - Non-Hazardous - Solid salts and solutions other than those mentioned in 06 03 11 and 06 03 13</t>
  </si>
  <si>
    <t>ZMW</t>
  </si>
  <si>
    <t>NACE C - 16.11 Sawmilling and planing of wood</t>
  </si>
  <si>
    <t>NACE F - 41.0 Construction of residential and non-residential buildings</t>
  </si>
  <si>
    <t>Norway</t>
  </si>
  <si>
    <t>country:NO</t>
  </si>
  <si>
    <t xml:space="preserve">    06 03 15 - Hazardous - Metallic oxides containing heavy metals</t>
  </si>
  <si>
    <t>NACE C - 16.12 Processing and finishing of wood</t>
  </si>
  <si>
    <t>NACE F - 42 Civil engineering</t>
  </si>
  <si>
    <t>Nepal</t>
  </si>
  <si>
    <t>country:NP</t>
  </si>
  <si>
    <t xml:space="preserve">    06 03 16 - Non-Hazardous - Metallic oxides other than those mentioned in 06 03 15</t>
  </si>
  <si>
    <t>NACE F - 42.1 Construction of roads and railways</t>
  </si>
  <si>
    <t>Nauru</t>
  </si>
  <si>
    <t>country:NR</t>
  </si>
  <si>
    <t xml:space="preserve">    06 03 99 - Non-Hazardous - Wastes not otherwise specified</t>
  </si>
  <si>
    <t>NACE C - 16.21 Manufacture of veneer sheets and wood-based panels</t>
  </si>
  <si>
    <t>NACE F - 42.2 Construction of utility projects</t>
  </si>
  <si>
    <t>Neutral Zone (before 1993-07-12)</t>
  </si>
  <si>
    <t>country:NT</t>
  </si>
  <si>
    <t xml:space="preserve">  06 04 - Metal-containing wastes other than those mentioned in 06 03</t>
  </si>
  <si>
    <t>NACE C - 16.22 Manufacture of assembled parquet floors</t>
  </si>
  <si>
    <t>NACE F - 42.9 Construction of other civil engineering projects</t>
  </si>
  <si>
    <t>Niue</t>
  </si>
  <si>
    <t>country:NU</t>
  </si>
  <si>
    <t xml:space="preserve">    06 04 03 - Hazardous - Wastes containing arsenic</t>
  </si>
  <si>
    <t>NACE C - 16.23 Manufacture of other builders’ carpentry and joinery</t>
  </si>
  <si>
    <t>NACE F - 43 Specialised construction activities</t>
  </si>
  <si>
    <t>New Zealand</t>
  </si>
  <si>
    <t>country:NZ</t>
  </si>
  <si>
    <t xml:space="preserve">    06 04 04 - Hazardous - Wastes containing mercury</t>
  </si>
  <si>
    <t>NACE C - 16.24 Manufacture of wooden containers</t>
  </si>
  <si>
    <t>NACE F - 43.1 Demolition and site preparation</t>
  </si>
  <si>
    <t>Oman</t>
  </si>
  <si>
    <t>country:OM</t>
  </si>
  <si>
    <t xml:space="preserve">    06 04 05 - Hazardous - Wastes containing other heavy metals</t>
  </si>
  <si>
    <t>NACE C - 16.25 Manufacture of doors and windows of wood</t>
  </si>
  <si>
    <t>NACE F - 43.2 Electrical, plumbing and other construction installation activities</t>
  </si>
  <si>
    <t>Panama</t>
  </si>
  <si>
    <t>country:PA</t>
  </si>
  <si>
    <t xml:space="preserve">    06 04 99 - Non-Hazardous - Wastes not otherwise specified</t>
  </si>
  <si>
    <t>NACE C - 16.26 Manufacture of solid fuels from vegetable biomass</t>
  </si>
  <si>
    <t>NACE F - 43.3 Building completion and finishing</t>
  </si>
  <si>
    <t>Peru</t>
  </si>
  <si>
    <t>country:PE</t>
  </si>
  <si>
    <t xml:space="preserve">  06 05 - Sludges from on-site effluent treatment</t>
  </si>
  <si>
    <t>NACE C - 16.27 Finishing of wooden products</t>
  </si>
  <si>
    <t>NACE F - 43.4 Specialised construction activities in construction of buildings</t>
  </si>
  <si>
    <t>French Polynesia</t>
  </si>
  <si>
    <t>country:PF</t>
  </si>
  <si>
    <t xml:space="preserve">    06 05 02 - Hazardous - Sludges from on-site effluent treatment containing hazardous substances</t>
  </si>
  <si>
    <t>NACE C - 16.28 Manufacture of other products of wood and articles of cork, straw and plaiting materials</t>
  </si>
  <si>
    <t>NACE F - 43.5 Specialised construction activities in civil engineering</t>
  </si>
  <si>
    <t>Papua New Guinea</t>
  </si>
  <si>
    <t>country:PG</t>
  </si>
  <si>
    <t xml:space="preserve">    06 05 03 - Non-Hazardous - Sludges from on-site effluent treatment other than those mentioned in 06 05 02</t>
  </si>
  <si>
    <t>NACE F - 43.6 Intermediation service activities for specialised construction services</t>
  </si>
  <si>
    <t>Philippines</t>
  </si>
  <si>
    <t>country:PH</t>
  </si>
  <si>
    <t xml:space="preserve">  06 06 - Wastes from the MFSU of sulphur chemicals, sulphur chemical processes and desulphurisation processes</t>
  </si>
  <si>
    <t>NACE F - 43.9 Other specialised construction activities</t>
  </si>
  <si>
    <t>Pakistan</t>
  </si>
  <si>
    <t>country:PK</t>
  </si>
  <si>
    <t xml:space="preserve">    06 06 02 - Hazardous - Wastes containing hazardous sulphides</t>
  </si>
  <si>
    <t>NACE C - 17.11 Manufacture of pulp</t>
  </si>
  <si>
    <t>NACE F - CONSTRUCTION</t>
  </si>
  <si>
    <t>Poland</t>
  </si>
  <si>
    <t>country:PL</t>
  </si>
  <si>
    <t xml:space="preserve">    06 06 03 - Non-Hazardous - Wastes containing sulphides other than those mentioned in 06 06 02</t>
  </si>
  <si>
    <t>NACE C - 17.12 Manufacture of paper and paperboard</t>
  </si>
  <si>
    <t>NACE G - 46 Wholesale trade</t>
  </si>
  <si>
    <t>Saint Pierre and Miquelon</t>
  </si>
  <si>
    <t>country:PM</t>
  </si>
  <si>
    <t xml:space="preserve">    06 06 99 - Non-Hazardous - Wastes not otherwise specified</t>
  </si>
  <si>
    <t>NACE G - 46.1 Wholesale on a fee or contract basis</t>
  </si>
  <si>
    <t>Pitcairn</t>
  </si>
  <si>
    <t>country:PN</t>
  </si>
  <si>
    <t xml:space="preserve">  06 07 - Wastes from the MFSU of halogens and halogen chemical processes</t>
  </si>
  <si>
    <t>NACE C - 17.21 Manufacture of corrugated paper, paperboard and containers of paper and paperboard</t>
  </si>
  <si>
    <t>NACE G - 46.2 Wholesale of agricultural raw materials and live animals</t>
  </si>
  <si>
    <t>Puerto Rico</t>
  </si>
  <si>
    <t>country:PR</t>
  </si>
  <si>
    <t xml:space="preserve">    06 07 01 - Hazardous - Wastes containing asbestos from electrolysis</t>
  </si>
  <si>
    <t>NACE C - 17.22 Manufacture of household and sanitary goods and of toilet requisites</t>
  </si>
  <si>
    <t>NACE G - 46.3 Wholesale of food, beverages and tobacco</t>
  </si>
  <si>
    <t>Palestine, State of</t>
  </si>
  <si>
    <t>country:PS</t>
  </si>
  <si>
    <t xml:space="preserve">    06 07 02 - Hazardous - Activated carbon from chlorine production</t>
  </si>
  <si>
    <t>NACE C - 17.23 Manufacture of paper stationery</t>
  </si>
  <si>
    <t>NACE G - 46.4 Wholesale of household goods</t>
  </si>
  <si>
    <t>Portugal</t>
  </si>
  <si>
    <t>country:PT</t>
  </si>
  <si>
    <t xml:space="preserve">    06 07 03 - Hazardous - Barium sulphate sludge containing mercury</t>
  </si>
  <si>
    <t>NACE C - 17.24 Manufacture of wallpaper</t>
  </si>
  <si>
    <t>NACE G - 46.5 Wholesale of information and communication equipment</t>
  </si>
  <si>
    <t>Palau</t>
  </si>
  <si>
    <t>country:PW</t>
  </si>
  <si>
    <t xml:space="preserve">    06 07 04 - Hazardous - Solutions and acids, for example contact acid</t>
  </si>
  <si>
    <t>NACE C - 17.25 Manufacture of other articles of paper and paperboard</t>
  </si>
  <si>
    <t>NACE G - 46.6 Wholesale of other machinery, equipment and supplies</t>
  </si>
  <si>
    <t>Paraguay</t>
  </si>
  <si>
    <t>country:PY</t>
  </si>
  <si>
    <t xml:space="preserve">    06 07 99 - Non-Hazardous - Wastes not otherwise specified</t>
  </si>
  <si>
    <t>NACE G - 46.7 Wholesale of motor vehicles, motorcycles and related parts and accessories</t>
  </si>
  <si>
    <t>Qatar</t>
  </si>
  <si>
    <t>country:QA</t>
  </si>
  <si>
    <t xml:space="preserve">  06 08 - Wastes from the MFSU of silicon and silicon derivatives</t>
  </si>
  <si>
    <t>NACE G - 46.8 Other specialised wholesale</t>
  </si>
  <si>
    <t>Réunion</t>
  </si>
  <si>
    <t>country:RE</t>
  </si>
  <si>
    <t xml:space="preserve">    06 08 02 - Hazardous - Waste containing hazardous chlorosilanes</t>
  </si>
  <si>
    <t>NACE C - 18.11 Printing of newspapers</t>
  </si>
  <si>
    <t>NACE G - 46.9 Non-specialised wholesale trade</t>
  </si>
  <si>
    <t>Romania</t>
  </si>
  <si>
    <t>country:RO</t>
  </si>
  <si>
    <t xml:space="preserve">    06 08 99 - Non-Hazardous - Wastes not otherwise specified</t>
  </si>
  <si>
    <t>NACE C - 18.12 Other printing</t>
  </si>
  <si>
    <t>NACE G - 47 Retail trade</t>
  </si>
  <si>
    <t>Serbia</t>
  </si>
  <si>
    <t>country:RS</t>
  </si>
  <si>
    <t xml:space="preserve">  06 09 - Wastes from the MSFU of phosphorous chemicals and phosphorous chemical processes</t>
  </si>
  <si>
    <t>NACE C - 18.13 Pre-press and pre-media services</t>
  </si>
  <si>
    <t>NACE G - 47.1 Non-specialised retail sale</t>
  </si>
  <si>
    <t>Russian Federation</t>
  </si>
  <si>
    <t>country:RU</t>
  </si>
  <si>
    <t xml:space="preserve">    06 09 02 - Non-Hazardous - Phosphorous slag</t>
  </si>
  <si>
    <t>NACE C - 18.14 Binding and related services</t>
  </si>
  <si>
    <t>NACE G - 47.2 Retail sale of food, beverages and tobacco</t>
  </si>
  <si>
    <t>Rwanda</t>
  </si>
  <si>
    <t>country:RW</t>
  </si>
  <si>
    <t xml:space="preserve">    06 09 03 - Hazardous - Calcium-based reaction wastes containing or contaminated with hazardous substances</t>
  </si>
  <si>
    <t>NACE G - 47.3 Retail sale of automotive fuel</t>
  </si>
  <si>
    <t>Saudi Arabia</t>
  </si>
  <si>
    <t>country:SA</t>
  </si>
  <si>
    <t xml:space="preserve">    06 09 04 - Non-Hazardous - Calcium-based reaction wastes other than those mentioned in 06 09 03</t>
  </si>
  <si>
    <t>NACE C - 18.20 Reproduction of recorded media</t>
  </si>
  <si>
    <t>NACE G - 47.4 Retail sale of information and communication equipment</t>
  </si>
  <si>
    <t>Solomon Islands</t>
  </si>
  <si>
    <t>country:SB</t>
  </si>
  <si>
    <t xml:space="preserve">    06 09 99 - Non-Hazardous - Wastes not otherwise specified</t>
  </si>
  <si>
    <t>NACE G - 47.5 Retail sale of other household equipment</t>
  </si>
  <si>
    <t>Seychelles</t>
  </si>
  <si>
    <t>country:SC</t>
  </si>
  <si>
    <t xml:space="preserve">  06 10 - Wastes from the MFSU of nitrogen chemicals, nitrogen chemical processes and fertiliser manufacture</t>
  </si>
  <si>
    <t>NACE G - 47.6 Retail sale of cultural and recreation goods</t>
  </si>
  <si>
    <t>Sudan</t>
  </si>
  <si>
    <t>country:SD</t>
  </si>
  <si>
    <t xml:space="preserve">    06 10 02 - Hazardous - Wastes containing hazardous substances</t>
  </si>
  <si>
    <t>NACE C - 19.10 Manufacture of coke oven products</t>
  </si>
  <si>
    <t>NACE G - 47.7 Retail sale of other goods, except motor vehicles and motorcycles</t>
  </si>
  <si>
    <t>Sweden</t>
  </si>
  <si>
    <t>country:SE</t>
  </si>
  <si>
    <t xml:space="preserve">    06 10 99 - Non-Hazardous - Wastes not otherwise specified</t>
  </si>
  <si>
    <t>NACE G - 47.8 Retail sale of motor vehicles, motorcycles and related parts and accessories</t>
  </si>
  <si>
    <t>Singapore</t>
  </si>
  <si>
    <t>country:SG</t>
  </si>
  <si>
    <t xml:space="preserve">  06 11 - Wastes from the manufacture of inorganic pigments and opacificiers</t>
  </si>
  <si>
    <t>NACE C - 19.20 Manufacture of refined petroleum products and fossil fuel products</t>
  </si>
  <si>
    <t>NACE G - 47.9 Intermediation service activities for retail sale</t>
  </si>
  <si>
    <t>Saint Helena, Ascension and Tristan da Cunha</t>
  </si>
  <si>
    <t>country:SH</t>
  </si>
  <si>
    <t xml:space="preserve">    06 11 01 - Non-Hazardous - Calcium-based reaction wastes from titanium dioxide production</t>
  </si>
  <si>
    <t>NACE G - WHOLESALE AND RETAIL TRADE</t>
  </si>
  <si>
    <t>Slovenia</t>
  </si>
  <si>
    <t>country:SI</t>
  </si>
  <si>
    <t xml:space="preserve">    06 11 99 - Non-Hazardous - Wastes not otherwise specified</t>
  </si>
  <si>
    <t>NACE H - 49 Land transport and transport via pipelines</t>
  </si>
  <si>
    <t>Svalbard and Jan Mayen</t>
  </si>
  <si>
    <t>country:SJ</t>
  </si>
  <si>
    <t xml:space="preserve">  06 13 - Wastes from inorganic chemical processes not otherwise specified</t>
  </si>
  <si>
    <t>NACE C - 20.11 Manufacture of industrial gases</t>
  </si>
  <si>
    <t>NACE H - 49.1 Passenger rail transport</t>
  </si>
  <si>
    <t>Slovakia</t>
  </si>
  <si>
    <t>country:SK</t>
  </si>
  <si>
    <t xml:space="preserve">    06 13 01 - Hazardous - Inorganic plant protection products, wood-preserving agents and other biocides.</t>
  </si>
  <si>
    <t>NACE C - 20.12 Manufacture of dyes and pigments</t>
  </si>
  <si>
    <t>NACE H - 49.2 Freight rail transport</t>
  </si>
  <si>
    <t>Sierra Leone</t>
  </si>
  <si>
    <t>country:SL</t>
  </si>
  <si>
    <t xml:space="preserve">    06 13 02 - Hazardous - Spent activated carbon (except 06 07 02)</t>
  </si>
  <si>
    <t>NACE C - 20.13 Manufacture of other inorganic basic chemicals</t>
  </si>
  <si>
    <t>NACE H - 49.3 Other passenger land transport</t>
  </si>
  <si>
    <t>San Marino</t>
  </si>
  <si>
    <t>country:SM</t>
  </si>
  <si>
    <t xml:space="preserve">    06 13 03 - Non-Hazardous - Carbon black</t>
  </si>
  <si>
    <t>NACE C - 20.14 Manufacture of other organic basic chemicals</t>
  </si>
  <si>
    <t>NACE H - 49.4 Freight transport by road and removal services</t>
  </si>
  <si>
    <t>Senegal</t>
  </si>
  <si>
    <t>country:SN</t>
  </si>
  <si>
    <t xml:space="preserve">    06 13 04 - Hazardous - Wastes from asbestos processing</t>
  </si>
  <si>
    <t>NACE C - 20.15 Manufacture of fertilisers and nitrogen compounds</t>
  </si>
  <si>
    <t>NACE H - 49.5 Transport via pipeline</t>
  </si>
  <si>
    <t>Somalia</t>
  </si>
  <si>
    <t>country:SO</t>
  </si>
  <si>
    <t xml:space="preserve">    06 13 05 - Hazardous - Soot</t>
  </si>
  <si>
    <t>NACE C - 20.16 Manufacture of plastics in primary forms</t>
  </si>
  <si>
    <t>NACE H - 50 Water transport</t>
  </si>
  <si>
    <t>Suriname</t>
  </si>
  <si>
    <t>country:SR</t>
  </si>
  <si>
    <t xml:space="preserve">    06 13 99 - Non-Hazardous - Wastes not otherwise specified</t>
  </si>
  <si>
    <t>NACE C - 20.17 Manufacture of synthetic rubber in primary forms</t>
  </si>
  <si>
    <t>NACE H - 50.1 Sea and coastal passenger water transport</t>
  </si>
  <si>
    <t>South Sudan</t>
  </si>
  <si>
    <t>country:SS</t>
  </si>
  <si>
    <t>07 - WASTES FROM ORGANIC CHEMICAL PROCESSES</t>
  </si>
  <si>
    <t>NACE H - 50.2 Sea and coastal freight water transport</t>
  </si>
  <si>
    <t>Sao Tome and Principe</t>
  </si>
  <si>
    <t>country:ST</t>
  </si>
  <si>
    <t xml:space="preserve">  07 01 - Wastes from the manufacture, formulation, supply and use (MFSU) of basic organic chemicals</t>
  </si>
  <si>
    <t>NACE C - 20.20 Manufacture of pesticides, disinfectants and other agrochemical products</t>
  </si>
  <si>
    <t>NACE H - 50.3 Inland passenger water transport</t>
  </si>
  <si>
    <t>El Salvador</t>
  </si>
  <si>
    <t>country:SV</t>
  </si>
  <si>
    <t xml:space="preserve">    07 01 01 - Hazardous - Aqueous washing liquids and mother liquors</t>
  </si>
  <si>
    <t>NACE H - 50.4 Inland freight water transport</t>
  </si>
  <si>
    <t>Sint Maarten (Dutch part)</t>
  </si>
  <si>
    <t>country:SX</t>
  </si>
  <si>
    <t xml:space="preserve">    07 01 03 - Hazardous - Organic halogenated solvents, washing liquids and mother liquors</t>
  </si>
  <si>
    <t>NACE C - 20.30 Manufacture of paints, varnishes and similar coatings, printing ink and mastics</t>
  </si>
  <si>
    <t>NACE H - 51 Air transport</t>
  </si>
  <si>
    <t>Syrian Arab Republic</t>
  </si>
  <si>
    <t>country:SY</t>
  </si>
  <si>
    <t xml:space="preserve">    07 01 04 - Hazardous - Other organic solvents, washing liquids and mother liquors</t>
  </si>
  <si>
    <t>NACE H - 51.1 Passenger air transport</t>
  </si>
  <si>
    <t>Eswatini</t>
  </si>
  <si>
    <t>country:SZ</t>
  </si>
  <si>
    <t xml:space="preserve">    07 01 07 - Hazardous - Halogenated still bottoms and reaction residues</t>
  </si>
  <si>
    <t>NACE C - 20.41 Manufacture of soap and detergents, cleaning and polishing preparations</t>
  </si>
  <si>
    <t>NACE H - 51.2 Freight air transport and space transport</t>
  </si>
  <si>
    <t>Turks and Caicos Islands</t>
  </si>
  <si>
    <t>country:TC</t>
  </si>
  <si>
    <t xml:space="preserve">    07 01 08 - Hazardous - Other still bottoms and reaction residues</t>
  </si>
  <si>
    <t>NACE C - 20.42 Manufacture of perfume and toilet preparations</t>
  </si>
  <si>
    <t>NACE H - 52 Warehousing, storage and support activities for transportation</t>
  </si>
  <si>
    <t>Chad</t>
  </si>
  <si>
    <t>country:TD</t>
  </si>
  <si>
    <t xml:space="preserve">    07 01 09 - Hazardous - Halogenated filter cakes and spent absorbents</t>
  </si>
  <si>
    <t>NACE H - 52.1 Warehousing and storage</t>
  </si>
  <si>
    <t>French Southern Territories</t>
  </si>
  <si>
    <t>country:TF</t>
  </si>
  <si>
    <t xml:space="preserve">    07 01 10 - Hazardous - Other filter cakes and spent absorbents</t>
  </si>
  <si>
    <t>NACE C - 20.51 Manufacture of liquid biofuels</t>
  </si>
  <si>
    <t>NACE H - 52.2 Support activities for transportation</t>
  </si>
  <si>
    <t>Togo</t>
  </si>
  <si>
    <t>country:TG</t>
  </si>
  <si>
    <t xml:space="preserve">    07 01 11 - Hazardous - Sludges from on-site effluent treatment containing hazardous substances</t>
  </si>
  <si>
    <t>NACE C - 20.59 Manufacture of other chemical products n.e.c.</t>
  </si>
  <si>
    <t>NACE H - 52.3 Intermediation service activities for transportation</t>
  </si>
  <si>
    <t>Thailand</t>
  </si>
  <si>
    <t>country:TH</t>
  </si>
  <si>
    <t xml:space="preserve">    07 01 12 - Non-Hazardous - Sludges from on-site effluent treatment other than those mentioned in 07 01 11</t>
  </si>
  <si>
    <t>NACE H - 53 Postal and courier activities</t>
  </si>
  <si>
    <t>Tajikistan</t>
  </si>
  <si>
    <t>country:TJ</t>
  </si>
  <si>
    <t xml:space="preserve">    07 01 99 - Non-Hazardous - Wastes not otherwise specified</t>
  </si>
  <si>
    <t>NACE C - 20.60 Manufacture of man-made fibres</t>
  </si>
  <si>
    <t>NACE H - 53.1 Postal activities under universal service obligation</t>
  </si>
  <si>
    <t>Tokelau</t>
  </si>
  <si>
    <t>country:TK</t>
  </si>
  <si>
    <t xml:space="preserve">  07 02 - Wastes from the MFSU of plastics, synthetic rubber and man-made fibres</t>
  </si>
  <si>
    <t>NACE H - 53.2 Other postal and courier activities</t>
  </si>
  <si>
    <t>Timor-Leste</t>
  </si>
  <si>
    <t>country:TL</t>
  </si>
  <si>
    <t xml:space="preserve">    07 02 01 - Hazardous - Aqueous washing liquids and mother liquors</t>
  </si>
  <si>
    <t>NACE H - 53.3 Intermediation service activities for postal and courier activities</t>
  </si>
  <si>
    <t>Turkmenistan</t>
  </si>
  <si>
    <t>country:TM</t>
  </si>
  <si>
    <t xml:space="preserve">    07 02 03 - Hazardous - Organic halogenated solvents, washing liquids and mother liquors</t>
  </si>
  <si>
    <t>NACE C - 21.10 Manufacture of basic pharmaceutical products</t>
  </si>
  <si>
    <t>NACE H - TRANSPORTATION AND STORAGE</t>
  </si>
  <si>
    <t>Tunisia</t>
  </si>
  <si>
    <t>country:TN</t>
  </si>
  <si>
    <t xml:space="preserve">    07 02 04 - Hazardous - Other organic solvents, washing liquids and mother liquors</t>
  </si>
  <si>
    <t>NACE I - 55 Accommodation</t>
  </si>
  <si>
    <t>Tonga</t>
  </si>
  <si>
    <t>country:TO</t>
  </si>
  <si>
    <t xml:space="preserve">    07 02 07 - Hazardous - Halogenated still bottoms and reaction residues</t>
  </si>
  <si>
    <t>NACE C - 21.20 Manufacture of pharmaceutical preparations</t>
  </si>
  <si>
    <t>NACE I - 55.1 Hotels and similar accommodation</t>
  </si>
  <si>
    <t>East Timor (before 2002-05-20)</t>
  </si>
  <si>
    <t>country:TP</t>
  </si>
  <si>
    <t xml:space="preserve">    07 02 08 - Hazardous - Other still bottoms and reaction residues</t>
  </si>
  <si>
    <t>NACE I - 55.2 Holiday and other short-stay accommodation</t>
  </si>
  <si>
    <t>Türkiye</t>
  </si>
  <si>
    <t>country:TR</t>
  </si>
  <si>
    <t xml:space="preserve">    07 02 09 - Hazardous - Halogenated filter cakes and spent absorbents</t>
  </si>
  <si>
    <t>NACE I - 55.3 Camping grounds and recreational vehicle parks</t>
  </si>
  <si>
    <t>Trinidad and Tobago</t>
  </si>
  <si>
    <t>country:TT</t>
  </si>
  <si>
    <t xml:space="preserve">    07 02 10 - Hazardous - Other filter cakes and spent absorbents</t>
  </si>
  <si>
    <t>NACE C - 22.11 Manufacture, retreading and rebuilding of rubber tyres and manufacture of tubes</t>
  </si>
  <si>
    <t>NACE I - 55.4 Intermediation service activities for accommodation</t>
  </si>
  <si>
    <t>Tuvalu</t>
  </si>
  <si>
    <t>country:TV</t>
  </si>
  <si>
    <t xml:space="preserve">    07 02 11 - Hazardous - Sludges from on-site effluent treatment containing hazardous substances</t>
  </si>
  <si>
    <t>NACE C - 22.12 Manufacture of other rubber products</t>
  </si>
  <si>
    <t>NACE I - 55.9 Other accommodation</t>
  </si>
  <si>
    <t>Taiwan (Province of China)</t>
  </si>
  <si>
    <t>country:TW</t>
  </si>
  <si>
    <t xml:space="preserve">    07 02 12 - Non-Hazardous - Sludges from on-site effluent treatment other than those mentioned in 07 02 11</t>
  </si>
  <si>
    <t>NACE I - 56 Food and beverage service activities</t>
  </si>
  <si>
    <t>Tanzania, the United Republic of</t>
  </si>
  <si>
    <t>country:TZ</t>
  </si>
  <si>
    <t xml:space="preserve">    07 02 13 - Non-Hazardous - Waste plastic</t>
  </si>
  <si>
    <t>NACE C - 22.21 Manufacture of plastic plates, sheets, tubes and profiles</t>
  </si>
  <si>
    <t>NACE I - 56.1 Restaurants and mobile food service activities</t>
  </si>
  <si>
    <t>Ukraine</t>
  </si>
  <si>
    <t>country:UA</t>
  </si>
  <si>
    <t xml:space="preserve">    07 02 14 - Hazardous - Wastes from additives containing hazardous substances</t>
  </si>
  <si>
    <t>NACE C - 22.22 Manufacture of plastic packing goods</t>
  </si>
  <si>
    <t>NACE I - 56.2 Event catering, contract catering service activities and other food service activities</t>
  </si>
  <si>
    <t>Uganda</t>
  </si>
  <si>
    <t>country:UG</t>
  </si>
  <si>
    <t xml:space="preserve">    07 02 15 - Non-Hazardous - Wastes from additives other than those mentioned in 07 02 14</t>
  </si>
  <si>
    <t>NACE C - 22.23 Manufacture of doors and windows of plastic</t>
  </si>
  <si>
    <t>NACE I - 56.21 Event catering activities</t>
  </si>
  <si>
    <t>United States Minor Outlying Islands</t>
  </si>
  <si>
    <t>country:UM</t>
  </si>
  <si>
    <t xml:space="preserve">    07 02 16 - Hazardous - Waste containing hazardous silicones</t>
  </si>
  <si>
    <t>NACE C - 22.24 Manufacture of builders’ ware of plastic</t>
  </si>
  <si>
    <t>NACE I - 56.3 Beverage serving activities</t>
  </si>
  <si>
    <t>United States of America</t>
  </si>
  <si>
    <t>country:US</t>
  </si>
  <si>
    <t xml:space="preserve">    07 02 17 - Non-Hazardous - Waste containing silicones other than those mentioned in 07 02 16</t>
  </si>
  <si>
    <t>NACE C - 22.25 Processing and finishing of plastic products</t>
  </si>
  <si>
    <t>NACE I - 56.4 Intermediation service activities for food and beverage services activities</t>
  </si>
  <si>
    <t>Uruguay</t>
  </si>
  <si>
    <t>country:UY</t>
  </si>
  <si>
    <t xml:space="preserve">    07 02 99 - Non-Hazardous - Wastes not otherwise specified</t>
  </si>
  <si>
    <t>NACE C - 22.26 Manufacture of other plastic products</t>
  </si>
  <si>
    <t>NACE I - ACCOMMODATION AND FOOD SERVICE ACTIVITIES</t>
  </si>
  <si>
    <t>Uzbekistan</t>
  </si>
  <si>
    <t>country:UZ</t>
  </si>
  <si>
    <t xml:space="preserve">  07 03 - Wastes from the MFSU of organic dyes and pigments (except 06 11)</t>
  </si>
  <si>
    <t>NACE J - 58 Publishing activities</t>
  </si>
  <si>
    <t>Holy See</t>
  </si>
  <si>
    <t>country:VA</t>
  </si>
  <si>
    <t xml:space="preserve">    07 03 01 - Hazardous - Aqueous washing liquids and mother liquors</t>
  </si>
  <si>
    <t>NACE J - 58.1 Publishing of books, newspapers and other publishing activities, except software publishing</t>
  </si>
  <si>
    <t>Saint Vincent and the Grenadines</t>
  </si>
  <si>
    <t>country:VC</t>
  </si>
  <si>
    <t xml:space="preserve">    07 03 03 - Hazardous - Organic halogenated solvents, washing liquids and mother liquors</t>
  </si>
  <si>
    <t>NACE C - 23.11 Manufacture of flat glass</t>
  </si>
  <si>
    <t>NACE J - 58.2 Software publishing</t>
  </si>
  <si>
    <t>Venezuela (Bolivarian Republic of)</t>
  </si>
  <si>
    <t>country:VE</t>
  </si>
  <si>
    <t xml:space="preserve">    07 03 04 - Hazardous - Other organic solvents, washing liquids and mother liquors</t>
  </si>
  <si>
    <t>NACE C - 23.12 Shaping and processing of flat glass</t>
  </si>
  <si>
    <t>NACE J - 59 Motion picture, video and television programme production, sound recording and music publishing activities</t>
  </si>
  <si>
    <t>Virgin Islands (British)</t>
  </si>
  <si>
    <t>country:VG</t>
  </si>
  <si>
    <t xml:space="preserve">    07 03 07 - Hazardous - Halogenated still bottoms and reaction residues</t>
  </si>
  <si>
    <t>NACE C - 23.13 Manufacture of hollow glass</t>
  </si>
  <si>
    <t>NACE J - 59.1 Motion picture, video and television programme activities</t>
  </si>
  <si>
    <t>Virgin Islands (U.S.)</t>
  </si>
  <si>
    <t>country:VI</t>
  </si>
  <si>
    <t xml:space="preserve">    07 03 08 - Hazardous - Other still bottoms and reaction residues</t>
  </si>
  <si>
    <t>NACE C - 23.14 Manufacture of glass fibres</t>
  </si>
  <si>
    <t>NACE J - 59.2 Sound recording and music publishing activities</t>
  </si>
  <si>
    <t>Viet Nam</t>
  </si>
  <si>
    <t>country:VN</t>
  </si>
  <si>
    <t xml:space="preserve">    07 03 09 - Hazardous - Halogenated filter cakes and spent absorbents</t>
  </si>
  <si>
    <t>NACE C - 23.15 Manufacture and processing of other glass, including technical glassware</t>
  </si>
  <si>
    <t>NACE J - 60 Programming, broadcasting, news agency and other content distribution activities</t>
  </si>
  <si>
    <t>Vanuatu</t>
  </si>
  <si>
    <t>country:VU</t>
  </si>
  <si>
    <t xml:space="preserve">    07 03 10 - Hazardous - Other filter cakes and spent absorbents</t>
  </si>
  <si>
    <t>NACE J - 60.1 Radio broadcasting and audio distribution activities</t>
  </si>
  <si>
    <t>Wallis and Futuna</t>
  </si>
  <si>
    <t>country:WF</t>
  </si>
  <si>
    <t xml:space="preserve">    07 03 11 - Hazardous - Sludges from on-site effluent treatment containing hazardous substances</t>
  </si>
  <si>
    <t>NACE C - 23.20 Manufacture of refractory products</t>
  </si>
  <si>
    <t>NACE J - 60.2 Television programming, broadcasting and video distribution activities</t>
  </si>
  <si>
    <t>Samoa</t>
  </si>
  <si>
    <t>country:WS</t>
  </si>
  <si>
    <t xml:space="preserve">    07 03 12 - Non-Hazardous - Sludges from on-site effluent treatment other than those mentioned in 07 03 11</t>
  </si>
  <si>
    <t>NACE J - 60.3 News agency and other content distribution activities</t>
  </si>
  <si>
    <t>Yemen</t>
  </si>
  <si>
    <t>country:YE</t>
  </si>
  <si>
    <t xml:space="preserve">    07 03 99 - Non-Hazardous - Wastes not otherwise specified</t>
  </si>
  <si>
    <t>NACE C - 23.31 Manufacture of ceramic tiles and flags</t>
  </si>
  <si>
    <t>NACE J - PUBLISHING, BROADCASTING, AND CONTENT PRODUCTION AND DISTRIBUTION ACTIVITIES</t>
  </si>
  <si>
    <t>Mayotte</t>
  </si>
  <si>
    <t>country:YT</t>
  </si>
  <si>
    <t xml:space="preserve">  07 04 - Wastes from the MFSU of organic plant protection products (except 02 01 08 and 02 01 09), wood preserving agents (except 03 02) and other biocides</t>
  </si>
  <si>
    <t>NACE C - 23.32 Manufacture of bricks, tiles and construction products, in baked clay</t>
  </si>
  <si>
    <t>NACE K - 61 Telecommunication</t>
  </si>
  <si>
    <t>Yugoslavia (before 2003-07-23)</t>
  </si>
  <si>
    <t>country:YU</t>
  </si>
  <si>
    <t xml:space="preserve">    07 04 01 - Hazardous - Aqueous washing liquids and mother liquors</t>
  </si>
  <si>
    <t>NACE K - 61.1 Wired, wireless, and satellite telecommunication activities</t>
  </si>
  <si>
    <t>South Africa</t>
  </si>
  <si>
    <t>country:ZA</t>
  </si>
  <si>
    <t xml:space="preserve">    07 04 03 - Hazardous - Organic halogenated solvents, washing liquids and mother liquors</t>
  </si>
  <si>
    <t>NACE C - 23.41 Manufacture of ceramic household and ornamental articles</t>
  </si>
  <si>
    <t>NACE K - 61.2 Telecommunication reselling activities and intermediation service activities for telecommunication</t>
  </si>
  <si>
    <t>Zambia</t>
  </si>
  <si>
    <t>country:ZM</t>
  </si>
  <si>
    <t xml:space="preserve">    07 04 04 - Hazardous - Other organic solvents, washing liquids and mother liquors</t>
  </si>
  <si>
    <t>NACE C - 23.42 Manufacture of ceramic sanitary fixtures</t>
  </si>
  <si>
    <t>NACE K - 61.9 Other telecommunication activities</t>
  </si>
  <si>
    <t>Zaire (before 1997-07-14)</t>
  </si>
  <si>
    <t>country:ZR</t>
  </si>
  <si>
    <t xml:space="preserve">    07 04 07 - Hazardous - Halogenated still bottoms and reaction residues</t>
  </si>
  <si>
    <t>NACE C - 23.43 Manufacture of ceramic insulators and insulating fittings</t>
  </si>
  <si>
    <t>NACE K - 62 Computer programming, consultancy and related activities</t>
  </si>
  <si>
    <t>Zimbabwe</t>
  </si>
  <si>
    <t>country:ZW</t>
  </si>
  <si>
    <t xml:space="preserve">    07 04 08 - Hazardous - Other still bottoms and reaction residues</t>
  </si>
  <si>
    <t>NACE C - 23.44 Manufacture of other technical ceramic products</t>
  </si>
  <si>
    <t>NACE K - 62.1 Computer programming activities</t>
  </si>
  <si>
    <t xml:space="preserve">    07 04 09 - Hazardous - Halogenated filter cakes and spent absorbents</t>
  </si>
  <si>
    <t>NACE C - 23.45 Manufacture of other ceramic products</t>
  </si>
  <si>
    <t>NACE K - 62.2 Computer consultancy and computer facilities management activities</t>
  </si>
  <si>
    <t xml:space="preserve">    07 04 10 - Hazardous - Other filter cakes and spent absorbents</t>
  </si>
  <si>
    <t>NACE K - 62.9 Other information technology and computer service activities</t>
  </si>
  <si>
    <t xml:space="preserve">    07 04 11 - Hazardous - Sludges from on-site effluent treatment containing hazardous substances</t>
  </si>
  <si>
    <t>NACE C - 23.51 Manufacture of cement</t>
  </si>
  <si>
    <t>NACE K - 63 Computing infrastructure, data processing, hosting and other information service activities</t>
  </si>
  <si>
    <t xml:space="preserve">    07 04 12 - Non-Hazardous - Sludges from on-site effluent treatment other than those mentioned in 07 04 11</t>
  </si>
  <si>
    <t>NACE C - 23.52 Manufacture of lime and plaster</t>
  </si>
  <si>
    <t>NACE K - 63.1 Computing infrastructure, data processing, hosting and related activities</t>
  </si>
  <si>
    <t xml:space="preserve">    07 04 13 - Hazardous - Solid wastes containing hazardous substances</t>
  </si>
  <si>
    <t>NACE K - 63.9 Web search portal activities and other information service activities</t>
  </si>
  <si>
    <t xml:space="preserve">    07 04 99 - Non-Hazardous - Wastes not otherwise specified</t>
  </si>
  <si>
    <t>NACE C - 23.61 Manufacture of concrete products for construction purposes</t>
  </si>
  <si>
    <t>NACE K - TELECOMMUNICATION, COMPUTER PROGRAMMING, CONSULTING, COMPUTING INFRASTRUCTURE AND OTHER INFORMATION SERVICE ACTIVITIES</t>
  </si>
  <si>
    <t xml:space="preserve">  07 05 - Wastes from the MFSU of pharmaceuticals</t>
  </si>
  <si>
    <t>NACE C - 23.62 Manufacture of plaster products for construction purposes</t>
  </si>
  <si>
    <t>NACE L - 64 Financial service activities, except insurance and pension funding</t>
  </si>
  <si>
    <t xml:space="preserve">    07 05 01 - Hazardous - Aqueous washing liquids and mother liquors</t>
  </si>
  <si>
    <t>NACE C - 23.63 Manufacture of ready-mixed concrete</t>
  </si>
  <si>
    <t>NACE L - 64.1 Monetary intermediation</t>
  </si>
  <si>
    <t xml:space="preserve">    07 05 03 - Hazardous - Organic halogenated solvents, washing liquids and mother liquors</t>
  </si>
  <si>
    <t>NACE C - 23.64 Manufacture of mortars</t>
  </si>
  <si>
    <t>NACE L - 64.2 Activities of holding companies and financing conduits</t>
  </si>
  <si>
    <t xml:space="preserve">    07 05 04 - Hazardous - Other organic solvents, washing liquids and mother liquors</t>
  </si>
  <si>
    <t>NACE C - 23.65 Manufacture of fibre cement</t>
  </si>
  <si>
    <t>NACE L - 64.3 Activities of trusts, funds and similar financial entities</t>
  </si>
  <si>
    <t xml:space="preserve">    07 05 07 - Hazardous - Halogenated still bottoms and reaction residues</t>
  </si>
  <si>
    <t>NACE C - 23.66 Manufacture of other articles of concrete, cement and plaster</t>
  </si>
  <si>
    <t>NACE L - 64.9 Other financial service activities, except insurance and pension funding</t>
  </si>
  <si>
    <t xml:space="preserve">    07 05 08 - Hazardous - Other still bottoms and reaction residues</t>
  </si>
  <si>
    <t>NACE L - 65 Insurance, reinsurance and pension funding, except compulsory social security</t>
  </si>
  <si>
    <t xml:space="preserve">    07 05 09 - Hazardous - Halogenated filter cakes and spent absorbents</t>
  </si>
  <si>
    <t>NACE C - 23.70 Cutting, shaping and finishing of stone</t>
  </si>
  <si>
    <t>NACE L - 65.1 Insurance</t>
  </si>
  <si>
    <t xml:space="preserve">    07 05 10 - Hazardous - Other filter cakes and spent absorbents</t>
  </si>
  <si>
    <t>NACE L - 65.2 Reinsurance</t>
  </si>
  <si>
    <t xml:space="preserve">    07 05 11 - Hazardous - Sludges from on-site effluent treatment containing hazardous substances</t>
  </si>
  <si>
    <t>NACE C - 23.91 Manufacture of abrasive products</t>
  </si>
  <si>
    <t>NACE L - 65.3 Pension funding</t>
  </si>
  <si>
    <t xml:space="preserve">    07 05 12 - Non-Hazardous - Sludges from on-site effluent treatment other than those mentioned in 07 05 11</t>
  </si>
  <si>
    <t>NACE C - 23.99 Manufacture of other non-metallic mineral products n.e.c.</t>
  </si>
  <si>
    <t>NACE L - 66 Activities auxiliary to financial services and insurance activities</t>
  </si>
  <si>
    <t xml:space="preserve">    07 05 13 - Hazardous - Solid wastes containing hazardous substances</t>
  </si>
  <si>
    <t>NACE L - 66.1 Activities auxiliary to financial services, except insurance and pension funding</t>
  </si>
  <si>
    <t xml:space="preserve">    07 05 14 - Non-Hazardous - Solid wastes other than those mentioned in 07 05 13</t>
  </si>
  <si>
    <t>NACE L - 66.2 Activities auxiliary to insurance and pension funding</t>
  </si>
  <si>
    <t xml:space="preserve">    07 05 99 - Non-Hazardous - Wastes not otherwise specified</t>
  </si>
  <si>
    <t>NACE C - 24.10 Manufacture of basic iron and steel and of ferro-alloys</t>
  </si>
  <si>
    <t>NACE L - 66.3 Fund management activities</t>
  </si>
  <si>
    <t xml:space="preserve">  07 06 - Wastes from the MFSU of fats, grease, soaps, detergents, disinfectants and cosmetics</t>
  </si>
  <si>
    <t>NACE L - FINANCIAL AND INSURANCE ACTIVITIES</t>
  </si>
  <si>
    <t xml:space="preserve">    07 06 01 - Hazardous - Aqueous washing liquids and mother liquors</t>
  </si>
  <si>
    <t>NACE C - 24.20 Manufacture of tubes, pipes, hollow profiles and related fittings, of steel</t>
  </si>
  <si>
    <t>NACE M - 68 Real estate activities</t>
  </si>
  <si>
    <t xml:space="preserve">    07 06 03 - Hazardous - Organic halogenated solvents, washing liquids and mother liquors</t>
  </si>
  <si>
    <t>NACE M - 68.1 Real estate activities with own property and development of building projects</t>
  </si>
  <si>
    <t xml:space="preserve">    07 06 04 - Hazardous - Other organic solvents, washing liquids and mother liquors</t>
  </si>
  <si>
    <t>NACE C - 24.31 Cold drawing of bars</t>
  </si>
  <si>
    <t>NACE M - 68.2 Rental and operating of own or leased real estate</t>
  </si>
  <si>
    <t xml:space="preserve">    07 06 07 - Hazardous - Halogenated still bottoms and reaction residues</t>
  </si>
  <si>
    <t>NACE C - 24.32 Cold rolling of narrow strip</t>
  </si>
  <si>
    <t>NACE M - 68.3 Real estate activities on a fee or contract basis</t>
  </si>
  <si>
    <t xml:space="preserve">    07 06 08 - Hazardous - Other still bottoms and reaction residues</t>
  </si>
  <si>
    <t>NACE C - 24.33 Cold forming or folding</t>
  </si>
  <si>
    <t>NACE M - REAL ESTATE ACTIVITIES</t>
  </si>
  <si>
    <t xml:space="preserve">    07 06 09 - Hazardous - Halogenated filter cakes and spent absorbents</t>
  </si>
  <si>
    <t>NACE C - 24.34 Cold drawing of wire</t>
  </si>
  <si>
    <t>NACE N - 69 Legal and accounting activities</t>
  </si>
  <si>
    <t xml:space="preserve">    07 06 10 - Hazardous - Other filter cakes and spent absorbents</t>
  </si>
  <si>
    <t>NACE N - 69.1 Legal activities</t>
  </si>
  <si>
    <t xml:space="preserve">    07 06 11 - Hazardous - Sludges from on-site effluent treatment containing hazardous substances</t>
  </si>
  <si>
    <t>NACE C - 24.41 Precious metals production</t>
  </si>
  <si>
    <t>NACE N - 69.2 Accounting, bookkeeping and auditing activities; tax consultancy</t>
  </si>
  <si>
    <t xml:space="preserve">    07 06 12 - Non-Hazardous - Sludges from on-site effluent treatment other than those mentioned in 07 06 11</t>
  </si>
  <si>
    <t>NACE C - 24.42 Aluminium production</t>
  </si>
  <si>
    <t>NACE N - 70 Activities of head offices and management consultancy</t>
  </si>
  <si>
    <t xml:space="preserve">    07 06 99 - Non-Hazardous - Wastes not otherwise specified</t>
  </si>
  <si>
    <t>NACE C - 24.43 Lead, zinc and tin production</t>
  </si>
  <si>
    <t>NACE N - 70.1 Activities of head offices</t>
  </si>
  <si>
    <t xml:space="preserve">  07 07 - Wastes from the MFSU of fine chemicals and chemical products not otherwise specified</t>
  </si>
  <si>
    <t>NACE C - 24.44 Copper production</t>
  </si>
  <si>
    <t>NACE N - 70.2 Business and other management consultancy activities</t>
  </si>
  <si>
    <t xml:space="preserve">    07 07 01 - Hazardous - Aqueous washing liquids and mother liquors</t>
  </si>
  <si>
    <t>NACE C - 24.45 Other non-ferrous metal production</t>
  </si>
  <si>
    <t>NACE N - 71 Architectural and engineering activities; technical testing and analysis</t>
  </si>
  <si>
    <t xml:space="preserve">    07 07 03 - Hazardous - Organic halogenated solvents, washing liquids and mother liquors</t>
  </si>
  <si>
    <t>NACE C - 24.46 Processing of nuclear fuel</t>
  </si>
  <si>
    <t>NACE N - 71.1 Architectural and engineering activities and related technical consultancy</t>
  </si>
  <si>
    <t xml:space="preserve">    07 07 04 - Hazardous - Other organic solvents, washing liquids and mother liquors</t>
  </si>
  <si>
    <t>NACE N - 71.2 Technical testing and analysis</t>
  </si>
  <si>
    <t xml:space="preserve">    07 07 07 - Hazardous - Halogenated still bottoms and reaction residues</t>
  </si>
  <si>
    <t>NACE C - 24.51 Casting of iron</t>
  </si>
  <si>
    <t>NACE N - 72 Scientific research and development</t>
  </si>
  <si>
    <t xml:space="preserve">    07 07 08 - Hazardous - Other still bottoms and reaction residues</t>
  </si>
  <si>
    <t>NACE C - 24.52 Casting of steel</t>
  </si>
  <si>
    <t>NACE N - 72.1 Research and experimental development on natural sciences and engineering</t>
  </si>
  <si>
    <t xml:space="preserve">    07 07 09 - Hazardous - Halogenated filter cakes and spent absorbents</t>
  </si>
  <si>
    <t>NACE C - 24.53 Casting of light metals</t>
  </si>
  <si>
    <t>NACE N - 72.2 Research and experimental development on social sciences and humanities</t>
  </si>
  <si>
    <t xml:space="preserve">    07 07 10 - Hazardous - Other filter cakes and spent absorbents</t>
  </si>
  <si>
    <t>NACE C - 24.54 Casting of other non-ferrous metals</t>
  </si>
  <si>
    <t>NACE N - 73 Activities of advertising, market research and public relations</t>
  </si>
  <si>
    <t xml:space="preserve">    07 07 11 - Hazardous - Sludges from on-site effluent treatment containing hazardous substances</t>
  </si>
  <si>
    <t>NACE N - 73.1 Advertising</t>
  </si>
  <si>
    <t xml:space="preserve">    07 07 12 - Non-Hazardous - Sludges from on-site effluent treatment other than those mentioned in 07 07 11</t>
  </si>
  <si>
    <t>NACE N - 73.2 Market research and public opinion polling</t>
  </si>
  <si>
    <t xml:space="preserve">    07 07 99 - Non-Hazardous - Wastes not otherwise specified</t>
  </si>
  <si>
    <t>NACE C - 25.11 Manufacture of metal structures and parts of structures</t>
  </si>
  <si>
    <t>NACE N - 73.3 Public relations and communication activities</t>
  </si>
  <si>
    <t>08 - WASTES FROM THE MANUFACTURE, FORMULATION, SUPPLY AND USE (MFSU) OF COATINGS (PAINTS, VARNISHES AND VITREOUS ENAMELS), ADHESIVES, SEALANTS AND PRINTING INKS</t>
  </si>
  <si>
    <t>NACE C - 25.12 Manufacture of doors and windows of metal</t>
  </si>
  <si>
    <t>NACE N - 74 Other professional, scientific and technical activities</t>
  </si>
  <si>
    <t xml:space="preserve">  08 01 - Wastes from MFSU and removal of paint and varnish</t>
  </si>
  <si>
    <t>NACE N - 74.1 Specialised design activities</t>
  </si>
  <si>
    <t xml:space="preserve">    08 01 11 - Hazardous - Waste paint and varnish containing organic solvents or other hazardous substances</t>
  </si>
  <si>
    <t>NACE C - 25.21 Manufacture of central heating radiators, steam generators and boilers</t>
  </si>
  <si>
    <t>NACE N - 74.2 Photographic activities</t>
  </si>
  <si>
    <t xml:space="preserve">    08 01 12 - Non-Hazardous - Waste paint and varnish other than those mentioned in 08 01 11</t>
  </si>
  <si>
    <t>NACE C - 25.22 Manufacture of other tanks, reservoirs and containers of metal</t>
  </si>
  <si>
    <t>NACE N - 74.3 Translation and interpretation activities</t>
  </si>
  <si>
    <t xml:space="preserve">    08 01 13 - Hazardous - Sludges from paint or varnish containing organic solvents or other hazardous substances</t>
  </si>
  <si>
    <t>NACE N - 74.9 Other professional, scientific and technical activities n.e.c.</t>
  </si>
  <si>
    <t xml:space="preserve">    08 01 14 - Non-Hazardous - Sludges from paint or varnish other than those mentioned in 08 01 13</t>
  </si>
  <si>
    <t>NACE C - 25.30 Manufacture of weapons and ammunition</t>
  </si>
  <si>
    <t>NACE N - 75 Veterinary activities</t>
  </si>
  <si>
    <t xml:space="preserve">    08 01 15 - Hazardous - Aqueous sludges containing paint or varnish containing organic solvents or other hazardous substances</t>
  </si>
  <si>
    <t>NACE N - 75.0 Veterinary activities</t>
  </si>
  <si>
    <t xml:space="preserve">    08 01 16 - Non-Hazardous - Aqueous sludges containing paint or varnish other than those mentioned in 08 01 15</t>
  </si>
  <si>
    <t>NACE C - 25.40 Forging and shaping metal and powder metallurgy</t>
  </si>
  <si>
    <t>NACE N - PROFESSIONAL, SCIENTIFIC AND TECHNICAL ACTIVITIES</t>
  </si>
  <si>
    <t xml:space="preserve">    08 01 17 - Hazardous - Wastes from paint or varnish removal containing organic solvents or other hazardous substances</t>
  </si>
  <si>
    <t>NACE O - 77 Rental and leasing activities</t>
  </si>
  <si>
    <t xml:space="preserve">    08 01 18 - Non-Hazardous - Wastes from paint or varnish removal other than those mentioned in 08 01 17</t>
  </si>
  <si>
    <t>NACE C - 25.51 Coating of metals</t>
  </si>
  <si>
    <t>NACE O - 77.1 Rental and leasing of motor vehicles</t>
  </si>
  <si>
    <t xml:space="preserve">    08 01 19 - Hazardous - Aqueous suspensions containing paint or varnish containing organic solvents or other hazardous substances</t>
  </si>
  <si>
    <t>NACE C - 25.52 Heat treatment of metals</t>
  </si>
  <si>
    <t>NACE O - 77.2 Rental and leasing of personal and household goods</t>
  </si>
  <si>
    <t xml:space="preserve">    08 01 20 - Non-Hazardous - Aqueous suspensions containing paint or varnish other than those mentioned in 08 01 19</t>
  </si>
  <si>
    <t>NACE C - 25.53 Machining of metals</t>
  </si>
  <si>
    <t>NACE O - 77.3 Rental and leasing of other machinery, equipment and tangible goods</t>
  </si>
  <si>
    <t xml:space="preserve">    08 01 21 - Hazardous - Waste paint or varnish remover</t>
  </si>
  <si>
    <t>NACE O - 77.4 Leasing of intellectual property and similar products, except copyrighted works</t>
  </si>
  <si>
    <t xml:space="preserve">    08 01 99 - Non-Hazardous - Wastes not otherwise specified</t>
  </si>
  <si>
    <t>NACE C - 25.61 Manufacture of cutlery</t>
  </si>
  <si>
    <t>NACE O - 77.5 Intermediation service activities for rental and leasing of tangible goods and non-financial intangible assets</t>
  </si>
  <si>
    <t xml:space="preserve">  08 02 - Wastes from MFSU of other coatings (including ceramic materials)</t>
  </si>
  <si>
    <t>NACE C - 25.62 Manufacture of locks and hinges</t>
  </si>
  <si>
    <t>NACE O - 78 Employment activities</t>
  </si>
  <si>
    <t xml:space="preserve">    08 02 01 - Non-Hazardous - Waste coating powders</t>
  </si>
  <si>
    <t>NACE C - 25.63 Manufacture of tools</t>
  </si>
  <si>
    <t>NACE O - 78.1 Activities of employment placement agencies</t>
  </si>
  <si>
    <t xml:space="preserve">    08 02 02 - Non-Hazardous - Aqueous sludges containing ceramic materials</t>
  </si>
  <si>
    <t>NACE O - 78.2 Temporary employment agency activities and other human resource provisions</t>
  </si>
  <si>
    <t xml:space="preserve">    08 02 03 - Non-Hazardous - Aqueous suspensions containing ceramic materials</t>
  </si>
  <si>
    <t>NACE C - 25.91 Manufacture of steel drums and similar containers</t>
  </si>
  <si>
    <t>NACE O - 79 Travel agency, tour operator and other reservation service and related activities</t>
  </si>
  <si>
    <t xml:space="preserve">    08 02 99 - Non-Hazardous - Wastes not otherwise specified</t>
  </si>
  <si>
    <t>NACE C - 25.92 Manufacture of light metal packaging</t>
  </si>
  <si>
    <t>NACE O - 79.1 Travel agency and tour operator activities</t>
  </si>
  <si>
    <t xml:space="preserve">  08 03 - Wastes from MFSU of printing inks</t>
  </si>
  <si>
    <t>NACE C - 25.93 Manufacture of wire products, chain and springs</t>
  </si>
  <si>
    <t>NACE O - 79.9 Other reservation service and related activities</t>
  </si>
  <si>
    <t xml:space="preserve">    08 03 07 - Non-Hazardous - Aqueous sludges containing ink</t>
  </si>
  <si>
    <t>NACE C - 25.94 Manufacture of fasteners and screw machine products</t>
  </si>
  <si>
    <t>NACE O - 80 Investigation and security activities</t>
  </si>
  <si>
    <t xml:space="preserve">    08 03 08 - Non-Hazardous - Aqueous liquid waste containing ink</t>
  </si>
  <si>
    <t>NACE C - 25.99 Manufacture of other fabricated metal products n.e.c.</t>
  </si>
  <si>
    <t>NACE O - 80.0 Investigation and security activities</t>
  </si>
  <si>
    <t xml:space="preserve">    08 03 12 - Hazardous - Waste ink containing hazardous substances</t>
  </si>
  <si>
    <t>NACE O - 81 Services to buildings and landscape activities</t>
  </si>
  <si>
    <t xml:space="preserve">    08 03 13 - Non-Hazardous - Waste ink other than those mentioned in 08 03 12</t>
  </si>
  <si>
    <t>NACE O - 81.1 Combined facilities support activities</t>
  </si>
  <si>
    <t xml:space="preserve">    08 03 14 - Hazardous - Ink sludges containing hazardous substances</t>
  </si>
  <si>
    <t>NACE C - 26.11 Manufacture of electronic components</t>
  </si>
  <si>
    <t>NACE O - 81.2 Cleaning activities</t>
  </si>
  <si>
    <t xml:space="preserve">    08 03 15 - Non-Hazardous - Ink sludges other than those mentioned in 08 03 14</t>
  </si>
  <si>
    <t>NACE C - 26.12 Manufacture of loaded electronic boards</t>
  </si>
  <si>
    <t>NACE O - 81.3 Landscape service activities</t>
  </si>
  <si>
    <t xml:space="preserve">    08 03 16 - Hazardous - Waste etching solutions</t>
  </si>
  <si>
    <t>NACE O - 82 Office administrative, office support and other business support activities</t>
  </si>
  <si>
    <t xml:space="preserve">    08 03 17 - Hazardous - Waste printing toner containing hazardous substances</t>
  </si>
  <si>
    <t>NACE C - 26.20 Manufacture of computers and peripheral equipment</t>
  </si>
  <si>
    <t>NACE O - 82.1 Office administrative and support activities</t>
  </si>
  <si>
    <t xml:space="preserve">    08 03 18 - Non-Hazardous - Waste printing toner other than those mentioned in 08 03 17</t>
  </si>
  <si>
    <t>NACE O - 82.2 Activities of call centres</t>
  </si>
  <si>
    <t xml:space="preserve">    08 03 19 - Hazardous - Disperse oil</t>
  </si>
  <si>
    <t>NACE C - 26.30 Manufacture of communication equipment</t>
  </si>
  <si>
    <t>NACE O - 82.3 Organisation of conventions and trade shows</t>
  </si>
  <si>
    <t xml:space="preserve">    08 03 99 - Non-Hazardous - Wastes not otherwise specified</t>
  </si>
  <si>
    <t>NACE O - 82.4 Intermediation service activities for business support service activities n.e.c.</t>
  </si>
  <si>
    <t xml:space="preserve">  08 04 - Wastes from MFSU of adhesives and sealants (including waterproofing products)</t>
  </si>
  <si>
    <t>NACE C - 26.40 Manufacture of consumer electronics</t>
  </si>
  <si>
    <t>NACE O - 82.9 Business support service activities n.e.c.</t>
  </si>
  <si>
    <t xml:space="preserve">    08 04 09 - Hazardous - Waste adhesives and sealants containing organic solvents or other hazardous substances</t>
  </si>
  <si>
    <t>NACE O - ADMINISTRATIVE AND SUPPORT SERVICE ACTIVITIES</t>
  </si>
  <si>
    <t xml:space="preserve">    08 04 10 - Non-Hazardous - Waste adhesives and sealants other than those mentioned in 08 04 09</t>
  </si>
  <si>
    <t>NACE C - 26.51 Manufacture of instruments and appliances for measuring, testing and navigation</t>
  </si>
  <si>
    <t>NACE P - 84 Public administration and defence; compulsory social security</t>
  </si>
  <si>
    <t xml:space="preserve">    08 04 11 - Hazardous - Adhesive and sealant sludges containing organic solvents or other hazardous substances</t>
  </si>
  <si>
    <t>NACE C - 26.52 Manufacture of watches and clocks</t>
  </si>
  <si>
    <t>NACE P - 84.1 Administration of the State and the economic, social and environmental policies of the community</t>
  </si>
  <si>
    <t xml:space="preserve">    08 04 12 - Non-Hazardous - Adhesive and sealant sludges other than those mentioned in 08 04 11</t>
  </si>
  <si>
    <t>NACE P - 84.2 Provision of services to the community as a whole</t>
  </si>
  <si>
    <t xml:space="preserve">    08 04 13 - Hazardous - Aqueous sludges containing adhesives or sealants containing organic solvents or other hazardous substances</t>
  </si>
  <si>
    <t>NACE C - 26.60 Manufacture of irradiation, electromedical and electrotherapeutic equipment</t>
  </si>
  <si>
    <t>NACE P - 84.3 Compulsory social security activities</t>
  </si>
  <si>
    <t xml:space="preserve">    08 04 14 - Non-Hazardous - Aqueous sludges containing adhesives or sealants other than those mentioned in 08 04 13</t>
  </si>
  <si>
    <t>NACE P - PUBLIC ADMINISTRATION AND DEFENCE; COMPULSORY SOCIAL SECURITY</t>
  </si>
  <si>
    <t xml:space="preserve">    08 04 15 - Hazardous - Aqueous liquid waste containing adhesives or sealants containing organic solvents or other hazardous substances</t>
  </si>
  <si>
    <t>NACE C - 26.70 Manufacture of optical instruments, magnetic and optical media and photographic equipment</t>
  </si>
  <si>
    <t>NACE Q - 85 Education</t>
  </si>
  <si>
    <t xml:space="preserve">    08 04 16 - Non-Hazardous - Aqueous liquid waste containing adhesives or sealants other than those mentioned in 08 04 15</t>
  </si>
  <si>
    <t>NACE Q - 85.1 Pre-primary education</t>
  </si>
  <si>
    <t xml:space="preserve">    08 04 17 - Hazardous - Rosin oil</t>
  </si>
  <si>
    <t>NACE Q - 85.2 Primary education</t>
  </si>
  <si>
    <t xml:space="preserve">    08 04 99 - Non-Hazardous - Wastes not otherwise specified</t>
  </si>
  <si>
    <t>NACE C - 27.11 Manufacture of electric motors, generators and transformers</t>
  </si>
  <si>
    <t>NACE Q - 85.3 Secondary and post-secondary non-tertiary education</t>
  </si>
  <si>
    <t xml:space="preserve">  08 05 - Wastes not otherwise specified in 08</t>
  </si>
  <si>
    <t>NACE C - 27.12 Manufacture of electricity distribution and control apparatus</t>
  </si>
  <si>
    <t>NACE Q - 85.4 Tertiary education</t>
  </si>
  <si>
    <t xml:space="preserve">    08 05 01 - Hazardous - Waste isocyanates</t>
  </si>
  <si>
    <t>NACE Q - 85.5 Other education</t>
  </si>
  <si>
    <t>09 - WASTES FROM THE PHOTOGRAPHIC INDUSTRY</t>
  </si>
  <si>
    <t>NACE C - 27.20 Manufacture of batteries and accumulators</t>
  </si>
  <si>
    <t>NACE Q - 85.6 Educational support activities</t>
  </si>
  <si>
    <t xml:space="preserve">  09 01 - Wastes from the photographic industry</t>
  </si>
  <si>
    <t>NACE Q - EDUCATION</t>
  </si>
  <si>
    <t xml:space="preserve">    09 01 01 - Hazardous - Water-based developer and activator solutions</t>
  </si>
  <si>
    <t>NACE C - 27.31 Manufacture of fibre optic cables</t>
  </si>
  <si>
    <t>NACE R - 86 Human health activities</t>
  </si>
  <si>
    <t xml:space="preserve">    09 01 02 - Hazardous - Water-based offset plate developer solutions</t>
  </si>
  <si>
    <t>NACE C - 27.32 Manufacture of other electronic and electric wires and cables</t>
  </si>
  <si>
    <t>NACE R - 86.1 Hospital activities</t>
  </si>
  <si>
    <t xml:space="preserve">    09 01 03 - Hazardous - Solvent-based developer solutions</t>
  </si>
  <si>
    <t>NACE C - 27.33 Manufacture of wiring devices</t>
  </si>
  <si>
    <t>NACE R - 86.2 Medical and dental practice activities</t>
  </si>
  <si>
    <t xml:space="preserve">    09 01 04 - Hazardous - Fixer solutions</t>
  </si>
  <si>
    <t>NACE R - 86.9 Other human health activities</t>
  </si>
  <si>
    <t xml:space="preserve">    09 01 05 - Hazardous - Bleach solutions and bleach fixer solutions</t>
  </si>
  <si>
    <t>NACE C - 27.40 Manufacture of lighting equipment</t>
  </si>
  <si>
    <t>NACE R - 87 Residential care activities</t>
  </si>
  <si>
    <t xml:space="preserve">    09 01 06 - Hazardous - Wastes containing silver from on-site treatment of photographic wastes</t>
  </si>
  <si>
    <t>NACE R - 87.1 Residential nursing care activities</t>
  </si>
  <si>
    <t xml:space="preserve">    09 01 07 - Non-Hazardous - Photographic film and paper containing silver or silver compounds</t>
  </si>
  <si>
    <t>NACE C - 27.51 Manufacture of electric domestic appliances</t>
  </si>
  <si>
    <t>NACE R - 87.2 Residential care activities for persons living with or having a diagnosis of a mental illness or substance abuse</t>
  </si>
  <si>
    <t xml:space="preserve">    09 01 08 - Non-Hazardous - Photographic film and paper free of silver or silver compounds</t>
  </si>
  <si>
    <t>NACE C - 27.52 Manufacture of non-electric domestic appliances</t>
  </si>
  <si>
    <t>NACE R - 87.3 Residential care activities for older persons or persons with physical disabilities</t>
  </si>
  <si>
    <t xml:space="preserve">    09 01 10 - Non-Hazardous - Single-use cameras without batteries</t>
  </si>
  <si>
    <t>NACE R - 87.9 Other residential care activities</t>
  </si>
  <si>
    <t xml:space="preserve">    09 01 11 - Hazardous - Single-use cameras containing batteries included in 16 06 01, 16 06 02 or 16 06 03</t>
  </si>
  <si>
    <t>NACE C - 27.90 Manufacture of other electrical equipment</t>
  </si>
  <si>
    <t>NACE R - 88 Social work activities without accommodation</t>
  </si>
  <si>
    <t xml:space="preserve">    09 01 12 - Non-Hazardous - Single-use cameras containing batteries other than those mentioned in 09 01 11</t>
  </si>
  <si>
    <t>NACE R - 88.1 Social work activities without accommodation for older persons or persons with disabilities</t>
  </si>
  <si>
    <t xml:space="preserve">    09 01 13 - Hazardous - Aqueous liquid waste from on-site reclamation of silver other than those mentioned in 09 01 06</t>
  </si>
  <si>
    <t>NACE R - 88.9 Other social work activities without accommodation</t>
  </si>
  <si>
    <t xml:space="preserve">    09 01 99 - Non-Hazardous - Wastes not otherwise specified</t>
  </si>
  <si>
    <t>NACE C - 28.11 Manufacture of engines and turbines, except aircraft, vehicle and cycle engines</t>
  </si>
  <si>
    <t>NACE R - HUMAN HEALTH AND SOCIAL WORK ACTIVITIES</t>
  </si>
  <si>
    <t>10 - WASTES FROM THERMAL PROCESSES</t>
  </si>
  <si>
    <t>NACE C - 28.12 Manufacture of fluid power equipment</t>
  </si>
  <si>
    <t>NACE S - 90 Arts creation and performing arts activities</t>
  </si>
  <si>
    <t xml:space="preserve">  10 01 - Wastes from power stations and other combustion plants (except 19)</t>
  </si>
  <si>
    <t>NACE C - 28.13 Manufacture of other pumps and compressors</t>
  </si>
  <si>
    <t>NACE S - 90.1 Arts creation activities</t>
  </si>
  <si>
    <t xml:space="preserve">    10 01 01 - Non-Hazardous - Bottom ash, slag and boiler dust (excluding boiler dust mentioned in 10 01 04)</t>
  </si>
  <si>
    <t>NACE C - 28.14 Manufacture of other taps and valves</t>
  </si>
  <si>
    <t>NACE S - 90.2 Activities of performing arts</t>
  </si>
  <si>
    <t xml:space="preserve">    10 01 02 - Non-Hazardous - Coal fly ash</t>
  </si>
  <si>
    <t>NACE C - 28.15 Manufacture of bearings, gears, gearing and driving elements</t>
  </si>
  <si>
    <t>NACE S - 90.3 Support activities to arts creation and performing arts</t>
  </si>
  <si>
    <t xml:space="preserve">    10 01 03 - Non-Hazardous - Fly ash from peat and untreated wood</t>
  </si>
  <si>
    <t>NACE S - 91 Libraries, archives, museums and other cultural activities</t>
  </si>
  <si>
    <t xml:space="preserve">    10 01 04 - Hazardous - Oil fly ash and boiler dust</t>
  </si>
  <si>
    <t>NACE C - 28.21 Manufacture of ovens, furnaces and permanent household heating equipment</t>
  </si>
  <si>
    <t>NACE S - 91.1 Library and archive activities</t>
  </si>
  <si>
    <t xml:space="preserve">    10 01 05 - Non-Hazardous - Calcium-based reaction wastes from flue-gas desulphurisation in solid form</t>
  </si>
  <si>
    <t>NACE C - 28.22 Manufacture of lifting and handling equipment</t>
  </si>
  <si>
    <t>NACE S - 91.2 Museum, collection, historical site and monument activities</t>
  </si>
  <si>
    <t xml:space="preserve">    10 01 07 - Non-Hazardous - Calcium-based reaction wastes from flue-gas desulphurisation in sludge form</t>
  </si>
  <si>
    <t>NACE C - 28.23 Manufacture of office machinery and equipment, except computers and peripheral equipment</t>
  </si>
  <si>
    <t>NACE S - 91.3 Conservation, restoration and other support activities for cultural heritage</t>
  </si>
  <si>
    <t xml:space="preserve">    10 01 09 - Hazardous - Sulphuric acid</t>
  </si>
  <si>
    <t>NACE C - 28.24 Manufacture of power-driven hand tools</t>
  </si>
  <si>
    <t>NACE S - 91.4 Botanical and zoological garden and nature reserve activities</t>
  </si>
  <si>
    <t xml:space="preserve">    10 01 13 - Hazardous - Fly ash from emulsified hydrocarbons used as fuel</t>
  </si>
  <si>
    <t>NACE C - 28.25 Manufacture of non-domestic air conditioning equipment</t>
  </si>
  <si>
    <t>NACE S - 92 Gambling and betting activities</t>
  </si>
  <si>
    <t xml:space="preserve">    10 01 14 - Hazardous - Bottom ash, slag and boiler dust from co-incineration containing hazardous substances</t>
  </si>
  <si>
    <t>NACE C - 28.29 Manufacture of other general-purpose machinery n.e.c.</t>
  </si>
  <si>
    <t>NACE S - 92.0 Gambling and betting activities</t>
  </si>
  <si>
    <t xml:space="preserve">    10 01 15 - Non-Hazardous - Bottom ash, slag and boiler dust from co-incineration other than those mentioned in 10 01 14</t>
  </si>
  <si>
    <t>NACE S - 93 Sports activities and amusement and recreation activities</t>
  </si>
  <si>
    <t xml:space="preserve">    10 01 16 - Hazardous - Fly ash from co-incineration containing hazardous substances</t>
  </si>
  <si>
    <t>NACE C - 28.30 Manufacture of agricultural and forestry machinery</t>
  </si>
  <si>
    <t>NACE S - 93.1 Sports activities</t>
  </si>
  <si>
    <t xml:space="preserve">    10 01 17 - Non-Hazardous - Fly ash from co-incineration other than those mentioned in 10 01 16</t>
  </si>
  <si>
    <t>NACE S - 93.2 Amusement and recreation activities</t>
  </si>
  <si>
    <t xml:space="preserve">    10 01 18 - Hazardous - Wastes from gas cleaning containing hazardous substances</t>
  </si>
  <si>
    <t>NACE C - 28.41 Manufacture of metal forming machinery and machine tools for metal work</t>
  </si>
  <si>
    <t>NACE S - ARTS, SPORTS AND RECREATION</t>
  </si>
  <si>
    <t xml:space="preserve">    10 01 19 - Non-Hazardous - Wastes from gas cleaning other than those mentioned in 10 01 05, 10 01 07 and 10 01 18</t>
  </si>
  <si>
    <t>NACE C - 28.42 Manufacture of other machine tools</t>
  </si>
  <si>
    <t>NACE T - 94 Activities of membership organisations</t>
  </si>
  <si>
    <t xml:space="preserve">    10 01 20 - Hazardous - Sludges from on-site effluent treatment containing hazardous substances</t>
  </si>
  <si>
    <t>NACE T - 94.1 Activities of business, employers and professional membership organisations</t>
  </si>
  <si>
    <t xml:space="preserve">    10 01 21 - Non-Hazardous - Sludges from on-site effluent treatment other than those mentioned in 10 01 20</t>
  </si>
  <si>
    <t>NACE C - 28.91 Manufacture of machinery for metallurgy</t>
  </si>
  <si>
    <t>NACE T - 94.2 Activities of trade unions</t>
  </si>
  <si>
    <t xml:space="preserve">    10 01 22 - Hazardous - Aqueous sludges from boiler cleansing containing hazardous substances</t>
  </si>
  <si>
    <t>NACE C - 28.92 Manufacture of machinery for mining, quarrying and construction</t>
  </si>
  <si>
    <t>NACE T - 94.9 Activities of other membership organisations</t>
  </si>
  <si>
    <t xml:space="preserve">    10 01 23 - Non-Hazardous - Aqueous sludges from boiler cleansing other than those mentioned in 10 01 22</t>
  </si>
  <si>
    <t>NACE C - 28.93 Manufacture of machinery for food, beverage and tobacco processing</t>
  </si>
  <si>
    <t>NACE T - 95 Repair and maintenance of computers, personal and household goods, and motor vehicles and motorcycles</t>
  </si>
  <si>
    <t xml:space="preserve">    10 01 24 - Non-Hazardous - Sands from fluidised beds</t>
  </si>
  <si>
    <t>NACE C - 28.94 Manufacture of machinery for textile, apparel and leather production</t>
  </si>
  <si>
    <t>NACE T - 95.1 Repair and maintenance of computers and communication equipment</t>
  </si>
  <si>
    <t xml:space="preserve">    10 01 25 - Non-Hazardous - Wastes from fuel storage and preparation of coal-fired power plants</t>
  </si>
  <si>
    <t>NACE C - 28.95 Manufacture of machinery for paper and paperboard production</t>
  </si>
  <si>
    <t>NACE T - 95.2 Repair and maintenance of personal and household goods</t>
  </si>
  <si>
    <t xml:space="preserve">    10 01 26 - Non-Hazardous - Wastes from cooling-water treatment</t>
  </si>
  <si>
    <t>NACE C - 28.96 Manufacture of plastics and rubber machinery</t>
  </si>
  <si>
    <t>NACE T - 95.3 Repair and maintenance of motor vehicles and motorcycles</t>
  </si>
  <si>
    <t xml:space="preserve">    10 01 99 - Non-Hazardous - Wastes not otherwise specified</t>
  </si>
  <si>
    <t>NACE C - 28.97 Manufacture of additive manufacturing machinery</t>
  </si>
  <si>
    <t>NACE T - 95.4 Intermediation service activities for repair and maintenance of computers, personal and household goods, and motor vehicles and motorcycles</t>
  </si>
  <si>
    <t xml:space="preserve">  10 02 - Wastes from the iron and steel industry</t>
  </si>
  <si>
    <t>NACE C - 28.99 Manufacture of other special-purpose machinery n.e.c.</t>
  </si>
  <si>
    <t>NACE T - 96 Personal service activities</t>
  </si>
  <si>
    <t xml:space="preserve">    10 02 01 - Non-Hazardous - Wastes from the processing of slag</t>
  </si>
  <si>
    <t>NACE T - 96.1 Washing and cleaning of textile and fur products</t>
  </si>
  <si>
    <t xml:space="preserve">    10 02 02 - Non-Hazardous - Unprocessed slag</t>
  </si>
  <si>
    <t>NACE T - 96.2 Hairdressing, beauty treatment, day spa and similar activities</t>
  </si>
  <si>
    <t xml:space="preserve">    10 02 07 - Hazardous - Solid wastes from gas treatment containing hazardous substances</t>
  </si>
  <si>
    <t>NACE C - 29.10 Manufacture of motor vehicles</t>
  </si>
  <si>
    <t>NACE T - 96.3 Funeral and related activities</t>
  </si>
  <si>
    <t xml:space="preserve">    10 02 08 - Non-Hazardous - Solid wastes from gas treatment other than those mentioned in 10 02 07</t>
  </si>
  <si>
    <t>NACE T - 96.4 Intermediation service activities for personal services</t>
  </si>
  <si>
    <t xml:space="preserve">    10 02 10 - Non-Hazardous - Mill scales</t>
  </si>
  <si>
    <t>NACE C - 29.20 Manufacture of bodies and coachwork for motor vehicles; manufacture of trailers and semi-trailers</t>
  </si>
  <si>
    <t>NACE T - 96.9 Other personal service activities</t>
  </si>
  <si>
    <t xml:space="preserve">    10 02 11 - Hazardous - Wastes from cooling-water treatment containing oil</t>
  </si>
  <si>
    <t>NACE T - OTHER SERVICE ACTIVITIES</t>
  </si>
  <si>
    <t xml:space="preserve">    10 02 12 - Non-Hazardous - Wastes from cooling-water treatment other than those mentioned in 10 02 11</t>
  </si>
  <si>
    <t>NACE C - 29.31 Manufacture of electrical and electronic equipment for motor vehicles</t>
  </si>
  <si>
    <t>NACE U - 97 Activities of households as employers of domestic personnel</t>
  </si>
  <si>
    <t xml:space="preserve">    10 02 13 - Hazardous - Sludges and filter cakes from gas treatment containing hazardous substances</t>
  </si>
  <si>
    <t>NACE C - 29.32 Manufacture of other parts and accessories for motor vehicles</t>
  </si>
  <si>
    <t>NACE U - 97.0 Activities of households as employers of domestic personnel</t>
  </si>
  <si>
    <t xml:space="preserve">    10 02 14 - Non-Hazardous - Sludges and filter cakes from gas treatment other than those mentioned in 10 02 13</t>
  </si>
  <si>
    <t>NACE U - 98 Undifferentiated goods- and service-producing activities of private households for own use</t>
  </si>
  <si>
    <t xml:space="preserve">    10 02 15 - Non-Hazardous - Other sludges and filter cakes</t>
  </si>
  <si>
    <t>NACE U - 98.1 Undifferentiated goods-producing activities of private households for own use</t>
  </si>
  <si>
    <t xml:space="preserve">    10 02 99 - Non-Hazardous - Wastes not otherwise specified</t>
  </si>
  <si>
    <t>NACE C - 30.11 Building of civilian ships and floating structures</t>
  </si>
  <si>
    <t>NACE U - 98.2 Undifferentiated service-producing activities of private households for own use</t>
  </si>
  <si>
    <t xml:space="preserve">  10 03 - Wastes from aluminium thermal metallurgy</t>
  </si>
  <si>
    <t>NACE C - 30.12 Building of pleasure and sporting boats</t>
  </si>
  <si>
    <t>NACE U - ACTIVITIES OF HOUSEHOLDS AS EMPLOYERS AND UNDIFFERENTIATED GOODS – AND SERVICE-PRODUCING ACTIVITIES OF HOUSEHOLDS FOR OWN USE</t>
  </si>
  <si>
    <t xml:space="preserve">    10 03 02 - Non-Hazardous - Anode scraps</t>
  </si>
  <si>
    <t>NACE C - 30.13 Building of military ships and vessels</t>
  </si>
  <si>
    <t>NACE V - 99 Activities of extraterritorial organisations and bodies</t>
  </si>
  <si>
    <t xml:space="preserve">    10 03 04 - Hazardous - Primary production slags</t>
  </si>
  <si>
    <t>NACE V - 99.0 Activities of extraterritorial organisations and bodies</t>
  </si>
  <si>
    <t xml:space="preserve">    10 03 05 - Non-Hazardous - Waste alumina</t>
  </si>
  <si>
    <t>NACE C - 30.20 Manufacture of railway locomotives and rolling stock</t>
  </si>
  <si>
    <t>NACE V - ACTIVITIES OF EXTRATERRITORIAL ORGANISATIONS AND BODIES</t>
  </si>
  <si>
    <t xml:space="preserve">    10 03 08 - Hazardous - Salt slags from secondary production</t>
  </si>
  <si>
    <t xml:space="preserve">    10 03 09 - Hazardous - Black drosses from secondary production</t>
  </si>
  <si>
    <t>NACE C - 30.31 Manufacture of civilian air and spacecraft and related machinery</t>
  </si>
  <si>
    <t xml:space="preserve">    10 03 15 - Hazardous - Skimmings that are flammable or emit, upon contact with water, flammable gases in hazardous quantities</t>
  </si>
  <si>
    <t>NACE C - 30.32 Manufacture of military air and spacecraft and related machinery</t>
  </si>
  <si>
    <t xml:space="preserve">    10 03 16 - Non-Hazardous - Skimmings other than those mentioned in 10 03 15</t>
  </si>
  <si>
    <t xml:space="preserve">    10 03 17 - Hazardous - Tar-containing wastes from anode manufacture</t>
  </si>
  <si>
    <t>NACE C - 30.40 Manufacture of military fighting vehicles</t>
  </si>
  <si>
    <t xml:space="preserve">    10 03 18 - Non-Hazardous - Carbon-containing wastes from anode manufacture other than those mentioned in 10 03 17</t>
  </si>
  <si>
    <t xml:space="preserve">    10 03 19 - Hazardous - Flue-gas dust containing hazardous substances</t>
  </si>
  <si>
    <t>NACE C - 30.91 Manufacture of motorcycles</t>
  </si>
  <si>
    <t xml:space="preserve">    10 03 20 - Non-Hazardous - Flue-gas dust other than those mentioned in 10 03 19</t>
  </si>
  <si>
    <t>NACE C - 30.92 Manufacture of bicycles and invalid carriages</t>
  </si>
  <si>
    <t xml:space="preserve">    10 03 21 - Hazardous - Other particulates and dust (including ball-mill dust) containing hazardous substances</t>
  </si>
  <si>
    <t>NACE C - 30.99 Manufacture of other transport equipment n.e.c.</t>
  </si>
  <si>
    <t xml:space="preserve">    10 03 22 - Non-Hazardous - Other particulates and dust (including ball-mill dust) other than those mentioned in 10 03 21</t>
  </si>
  <si>
    <t xml:space="preserve">    10 03 23 - Hazardous - Solid wastes from gas treatment containing hazardous substances</t>
  </si>
  <si>
    <t xml:space="preserve">    10 03 24 - Non-Hazardous - Solid wastes from gas treatment other than those mentioned in 10 03 23</t>
  </si>
  <si>
    <t>NACE C - 31.00 Manufacture of furniture</t>
  </si>
  <si>
    <t xml:space="preserve">    10 03 25 - Hazardous - Sludges and filter cakes from gas treatment containing hazardous substances</t>
  </si>
  <si>
    <t xml:space="preserve">    10 03 26 - Non-Hazardous - Sludges and filter cakes from gas treatment other than those mentioned in 10 03 25</t>
  </si>
  <si>
    <t xml:space="preserve">    10 03 27 - Hazardous - Wastes from cooling-water treatment containing oil</t>
  </si>
  <si>
    <t>NACE C - 32.11 Striking of coins</t>
  </si>
  <si>
    <t xml:space="preserve">    10 03 28 - Non-Hazardous - Wastes from cooling-water treatment other than those mentioned in 10 03 27</t>
  </si>
  <si>
    <t>NACE C - 32.12 Manufacture of jewellery and related articles</t>
  </si>
  <si>
    <t xml:space="preserve">    10 03 29 - Hazardous - Wastes from treatment of salt slags and black drosses containing hazardous substances</t>
  </si>
  <si>
    <t>NACE C - 32.13 Manufacture of imitation jewellery and related articles</t>
  </si>
  <si>
    <t xml:space="preserve">    10 03 30 - Non-Hazardous - Wastes from treatment of salt slags and black drosses other than those mentioned in 10 03 29</t>
  </si>
  <si>
    <t xml:space="preserve">    10 03 99 - Non-Hazardous - Wastes not otherwise specified</t>
  </si>
  <si>
    <t>NACE C - 32.20 Manufacture of musical instruments</t>
  </si>
  <si>
    <t xml:space="preserve">  10 04 - Wastes from lead thermal metallurgy</t>
  </si>
  <si>
    <t xml:space="preserve">    10 04 01 - Hazardous - Slags from primary and secondary production</t>
  </si>
  <si>
    <t>NACE C - 32.30 Manufacture of sports goods</t>
  </si>
  <si>
    <t xml:space="preserve">    10 04 02 - Hazardous - Dross and skimmings from primary and secondary production</t>
  </si>
  <si>
    <t xml:space="preserve">    10 04 03 - Hazardous - Calcium arsenate</t>
  </si>
  <si>
    <t>NACE C - 32.40 Manufacture of games and toys</t>
  </si>
  <si>
    <t xml:space="preserve">    10 04 04 - Hazardous - Flue-gas dust</t>
  </si>
  <si>
    <t xml:space="preserve">    10 04 05 - Hazardous - Other particulates and dust</t>
  </si>
  <si>
    <t>NACE C - 32.50 Manufacture of medical and dental instruments and supplies</t>
  </si>
  <si>
    <t xml:space="preserve">    10 04 06 - Hazardous - Solid wastes from gas treatment</t>
  </si>
  <si>
    <t xml:space="preserve">    10 04 07 - Hazardous - Sludges and filter cakes from gas treatment</t>
  </si>
  <si>
    <t>NACE C - 32.91 Manufacture of brooms and brushes</t>
  </si>
  <si>
    <t xml:space="preserve">    10 04 09 - Hazardous - Wastes from cooling-water treatment containing oil</t>
  </si>
  <si>
    <t>NACE C - 32.99 Other manufacturing n.e.c.</t>
  </si>
  <si>
    <t xml:space="preserve">    10 04 10 - Non-Hazardous - Wastes from cooling-water treatment other than those mentioned in 10 04 09</t>
  </si>
  <si>
    <t xml:space="preserve">    10 04 99 - Non-Hazardous - Wastes not otherwise specified</t>
  </si>
  <si>
    <t xml:space="preserve">  10 05 - Wastes from zinc thermal metallurgy</t>
  </si>
  <si>
    <t>NACE C - 33.11 Repair and maintenance of fabricated metal products</t>
  </si>
  <si>
    <t xml:space="preserve">    10 05 01 - Non-Hazardous - Slags from primary and secondary production</t>
  </si>
  <si>
    <t>NACE C - 33.12 Repair and maintenance of machinery</t>
  </si>
  <si>
    <t xml:space="preserve">    10 05 03 - Hazardous - Flue-gas dust</t>
  </si>
  <si>
    <t>NACE C - 33.13 Repair and maintenance of electronic and optical equipment</t>
  </si>
  <si>
    <t xml:space="preserve">    10 05 04 - Non-Hazardous - Other particulates and dust</t>
  </si>
  <si>
    <t>NACE C - 33.14 Repair and maintenance of electrical equipment</t>
  </si>
  <si>
    <t xml:space="preserve">    10 05 05 - Hazardous - Solid waste from gas treatment</t>
  </si>
  <si>
    <t>NACE C - 33.15 Repair and maintenance of civilian ships and boats</t>
  </si>
  <si>
    <t xml:space="preserve">    10 05 06 - Hazardous - Sludges and filter cakes from gas treatment</t>
  </si>
  <si>
    <t>NACE C - 33.16 Repair and maintenance of civilian air and spacecraft</t>
  </si>
  <si>
    <t xml:space="preserve">    10 05 08 - Hazardous - Wastes from cooling-water treatment containing oil</t>
  </si>
  <si>
    <t>NACE C - 33.17 Repair and maintenance of other civilian transport equipment</t>
  </si>
  <si>
    <t xml:space="preserve">    10 05 09 - Non-Hazardous - Wastes from cooling-water treatment other than those mentioned in 10 05 08</t>
  </si>
  <si>
    <t>NACE C - 33.18 Repair and maintenance of military fighting vehicles, ships, boats, air and spacecraft</t>
  </si>
  <si>
    <t xml:space="preserve">    10 05 10 - Hazardous - Dross and skimmings that are flammable or emit, upon contact with water, flammable gases in hazardous quantities</t>
  </si>
  <si>
    <t>NACE C - 33.19 Repair and maintenance of other equipment</t>
  </si>
  <si>
    <t xml:space="preserve">    10 05 11 - Non-Hazardous - Dross and skimmings other than those mentioned in 10 05 10</t>
  </si>
  <si>
    <t xml:space="preserve">    10 05 99 - Non-Hazardous - Wastes not otherwise specified</t>
  </si>
  <si>
    <t>NACE C - 33.20 Installation of industrial machinery and equipment</t>
  </si>
  <si>
    <t xml:space="preserve">  10 06 - Wastes from copper thermal metallurgy</t>
  </si>
  <si>
    <t xml:space="preserve">    10 06 01 - Non-Hazardous - Slags from primary and secondary production</t>
  </si>
  <si>
    <t xml:space="preserve">    10 06 02 - Non-Hazardous - Dross and skimmings from primary and secondary production</t>
  </si>
  <si>
    <t xml:space="preserve">    10 06 03 - Hazardous - Flue-gas dust</t>
  </si>
  <si>
    <t>NACE D - 35.11 Production of electricity from non-renewable sources</t>
  </si>
  <si>
    <t xml:space="preserve">    10 06 04 - Non-Hazardous - Other particulates and dust</t>
  </si>
  <si>
    <t>NACE D - 35.12 Production of electricity from renewable sources</t>
  </si>
  <si>
    <t xml:space="preserve">    10 06 06 - Hazardous - Solid wastes from gas treatment</t>
  </si>
  <si>
    <t>NACE D - 35.13 Transmission of electricity</t>
  </si>
  <si>
    <t xml:space="preserve">    10 06 07 - Hazardous - Sludges and filter cakes from gas treatment</t>
  </si>
  <si>
    <t>NACE D - 35.14 Distribution of electricity</t>
  </si>
  <si>
    <t xml:space="preserve">    10 06 09 - Hazardous - Wastes from cooling-water treatment containing oil</t>
  </si>
  <si>
    <t>NACE D - 35.15 Trade of electricity</t>
  </si>
  <si>
    <t xml:space="preserve">    10 06 10 - Non-Hazardous - Wastes from cooling-water treatment other than those mentioned in 10 06 09</t>
  </si>
  <si>
    <t>NACE D - 35.16 Storage of electricity</t>
  </si>
  <si>
    <t xml:space="preserve">    10 06 99 - Non-Hazardous - Wastes not otherwise specified</t>
  </si>
  <si>
    <t xml:space="preserve">  10 07 - Wastes from silver, gold and platinum thermal metallurgy</t>
  </si>
  <si>
    <t>NACE D - 35.21 Manufacture of gas</t>
  </si>
  <si>
    <t xml:space="preserve">    10 07 01 - Non-Hazardous - Slags from primary and secondary production</t>
  </si>
  <si>
    <t>NACE D - 35.22 Distribution of gaseous fuels through mains</t>
  </si>
  <si>
    <t xml:space="preserve">    10 07 02 - Non-Hazardous - Dross and skimmings from primary and secondary production</t>
  </si>
  <si>
    <t>NACE D - 35.23 Trade of gas through mains</t>
  </si>
  <si>
    <t xml:space="preserve">    10 07 03 - Non-Hazardous - Solid wastes from gas treatment</t>
  </si>
  <si>
    <t>NACE D - 35.24 Storage of gas as part of network supply services</t>
  </si>
  <si>
    <t xml:space="preserve">    10 07 04 - Non-Hazardous - Other particulates and dust</t>
  </si>
  <si>
    <t xml:space="preserve">    10 07 05 - Non-Hazardous - Sludges and filter cakes from gas treatment</t>
  </si>
  <si>
    <t>NACE D - 35.30 Steam and air conditioning supply</t>
  </si>
  <si>
    <t xml:space="preserve">    10 07 07 - Hazardous - Wastes from cooling-water treatment containing oil</t>
  </si>
  <si>
    <t xml:space="preserve">    10 07 08 - Non-Hazardous - Wastes from cooling-water treatment other than those mentioned in 10 07 07</t>
  </si>
  <si>
    <t>NACE D - 35.40 Activities of brokers and agents for electric power and natural gas</t>
  </si>
  <si>
    <t xml:space="preserve">    10 07 99 - Non-Hazardous - Wastes not otherwise specified</t>
  </si>
  <si>
    <t xml:space="preserve">  10 08 - Wastes from other non-ferrous thermal metallurgy</t>
  </si>
  <si>
    <t xml:space="preserve">    10 08 04 - Non-Hazardous - Particulates and dust</t>
  </si>
  <si>
    <t xml:space="preserve">    10 08 08 - Hazardous - Salt slag from primary and secondary production</t>
  </si>
  <si>
    <t>NACE E - 36.00 Water collection, treatment and supply</t>
  </si>
  <si>
    <t xml:space="preserve">    10 08 09 - Non-Hazardous - Other slags</t>
  </si>
  <si>
    <t xml:space="preserve">    10 08 10 - Hazardous - Dross and skimmings that are flammable or emit, upon contact with water, flammable gases in hazardous quantities</t>
  </si>
  <si>
    <t xml:space="preserve">    10 08 11 - Non-Hazardous - Dross and skimmings other than those mentioned in 10 08 10</t>
  </si>
  <si>
    <t>NACE E - 37.00 Sewerage</t>
  </si>
  <si>
    <t xml:space="preserve">    10 08 12 - Hazardous - Tar-containing wastes from anode manufacture</t>
  </si>
  <si>
    <t xml:space="preserve">    10 08 13 - Non-Hazardous - Carbon-containing wastes from anode manufacture other than those mentioned in 10 08 12</t>
  </si>
  <si>
    <t xml:space="preserve">    10 08 14 - Non-Hazardous - Anode scrap</t>
  </si>
  <si>
    <t>NACE E - 38.11 Collection of non-hazardous waste</t>
  </si>
  <si>
    <t xml:space="preserve">    10 08 15 - Hazardous - Flue-gas dust containing hazardous substances</t>
  </si>
  <si>
    <t>NACE E - 38.12 Collection of hazardous waste</t>
  </si>
  <si>
    <t xml:space="preserve">    10 08 16 - Non-Hazardous - Flue-gas dust other than those mentioned in 10 08 15</t>
  </si>
  <si>
    <t xml:space="preserve">    10 08 17 - Hazardous - Sludges and filter cakes from flue-gas treatment containing hazardous substances</t>
  </si>
  <si>
    <t>NACE E - 38.21 Materials recovery</t>
  </si>
  <si>
    <t xml:space="preserve">    10 08 18 - Non-Hazardous - Sludges and filter cakes from flue-gas treatment other than those mentioned in 10 08 17</t>
  </si>
  <si>
    <t>NACE E - 38.22 Energy recovery</t>
  </si>
  <si>
    <t xml:space="preserve">    10 08 19 - Hazardous - Wastes from cooling-water treatment containing oil</t>
  </si>
  <si>
    <t>NACE E - 38.23 Other waste recovery</t>
  </si>
  <si>
    <t xml:space="preserve">    10 08 20 - Non-Hazardous - Wastes from cooling-water treatment other than those mentioned in 10 08 19</t>
  </si>
  <si>
    <t xml:space="preserve">    10 08 99 - Non-Hazardous - Wastes not otherwise specified</t>
  </si>
  <si>
    <t>NACE E - 38.31 Incineration without energy recovery</t>
  </si>
  <si>
    <t xml:space="preserve">  10 09 - Wastes from casting of ferrous pieces</t>
  </si>
  <si>
    <t>NACE E - 38.32 Landfilling or permanent storage</t>
  </si>
  <si>
    <t xml:space="preserve">    10 09 03 - Non-Hazardous - Furnace slag</t>
  </si>
  <si>
    <t>NACE E - 38.33 Other waste disposal</t>
  </si>
  <si>
    <t xml:space="preserve">    10 09 05 - Hazardous - Casting cores and moulds which have not undergone pouring containing hazardous substances</t>
  </si>
  <si>
    <t xml:space="preserve">    10 09 06 - Non-Hazardous - Casting cores and moulds which have not undergone pouring other than those mentioned in 10 09 05</t>
  </si>
  <si>
    <t xml:space="preserve">    10 09 07 - Hazardous - Casting cores and moulds which have undergone pouring containing hazardous substances</t>
  </si>
  <si>
    <t>NACE E - 39.00 Remediation activities and other waste management service activities</t>
  </si>
  <si>
    <t xml:space="preserve">    10 09 08 - Non-Hazardous - Casting cores and moulds which have undergone pouring other than those mentioned in 10 09 07</t>
  </si>
  <si>
    <t xml:space="preserve">    10 09 09 - Hazardous - Flue-gas dust containing hazardous substances</t>
  </si>
  <si>
    <t xml:space="preserve">    10 09 10 - Non-Hazardous - Flue-gas dust other than those mentioned in 10 09 09</t>
  </si>
  <si>
    <t xml:space="preserve">    10 09 11 - Hazardous - Other particulates containing hazardous substances</t>
  </si>
  <si>
    <t>NACE F - 41.00 Construction of residential and non-residential buildings</t>
  </si>
  <si>
    <t xml:space="preserve">    10 09 12 - Non-Hazardous - Other particulates other than those mentioned in 10 09 11</t>
  </si>
  <si>
    <t xml:space="preserve">    10 09 13 - Hazardous - Waste binders containing hazardous substances</t>
  </si>
  <si>
    <t xml:space="preserve">    10 09 14 - Non-Hazardous - Waste binders other than those mentioned in 10 09 13</t>
  </si>
  <si>
    <t>NACE F - 42.11 Construction of roads and motorways</t>
  </si>
  <si>
    <t xml:space="preserve">    10 09 15 - Hazardous - Waste crack-indicating agent containing hazardous substances</t>
  </si>
  <si>
    <t>NACE F - 42.12 Construction of railways and underground railways</t>
  </si>
  <si>
    <t xml:space="preserve">    10 09 16 - Non-Hazardous - Waste crack-indicating agent other than those mentioned in 10 09 15</t>
  </si>
  <si>
    <t>NACE F - 42.13 Construction of bridges and tunnels</t>
  </si>
  <si>
    <t xml:space="preserve">    10 09 99 - Non-Hazardous - Wastes not otherwise specified</t>
  </si>
  <si>
    <t xml:space="preserve">  10 10 - Wastes from casting of non-ferrous pieces</t>
  </si>
  <si>
    <t>NACE F - 42.21 Construction of utility projects for fluids</t>
  </si>
  <si>
    <t xml:space="preserve">    10 10 03 - Non-Hazardous - Furnace slag</t>
  </si>
  <si>
    <t>NACE F - 42.22 Construction of utility projects for electricity and telecommunications</t>
  </si>
  <si>
    <t xml:space="preserve">    10 10 05 - Hazardous - Casting cores and moulds which have not undergone pouring, containing hazardous substances</t>
  </si>
  <si>
    <t xml:space="preserve">    10 10 06 - Non-Hazardous - Casting cores and moulds which have not undergone pouring, other than those mentioned in 10 10 05</t>
  </si>
  <si>
    <t>NACE F - 42.91 Construction of water projects</t>
  </si>
  <si>
    <t xml:space="preserve">    10 10 07 - Hazardous - Casting cores and moulds which have undergone pouring, containing hazardous substances</t>
  </si>
  <si>
    <t>NACE F - 42.99 Construction of other civil engineering projects n.e.c.</t>
  </si>
  <si>
    <t xml:space="preserve">    10 10 08 - Non-Hazardous - Casting cores and moulds which have undergone pouring, other than those mentioned in 10 10 07</t>
  </si>
  <si>
    <t xml:space="preserve">    10 10 09 - Hazardous - Flue-gas dust containing hazardous substances</t>
  </si>
  <si>
    <t xml:space="preserve">    10 10 10 - Non-Hazardous - Flue-gas dust other than those mentioned in 10 10 09</t>
  </si>
  <si>
    <t>NACE F - 43.11 Demolition</t>
  </si>
  <si>
    <t xml:space="preserve">    10 10 11 - Hazardous - Other particulates containing hazardous substances</t>
  </si>
  <si>
    <t>NACE F - 43.12 Site preparation</t>
  </si>
  <si>
    <t xml:space="preserve">    10 10 12 - Non-Hazardous - Other particulates other than those mentioned in 10 10 11</t>
  </si>
  <si>
    <t>NACE F - 43.13 Test drilling and boring</t>
  </si>
  <si>
    <t xml:space="preserve">    10 10 13 - Hazardous - Waste binders containing hazardous substances</t>
  </si>
  <si>
    <t xml:space="preserve">    10 10 14 - Non-Hazardous - Waste binders other than those mentioned in 10 10 13</t>
  </si>
  <si>
    <t>NACE F - 43.21 Electrical installation</t>
  </si>
  <si>
    <t xml:space="preserve">    10 10 15 - Hazardous - Waste crack-indicating agent containing hazardous substances</t>
  </si>
  <si>
    <t>NACE F - 43.22 Plumbing, heat and air-conditioning installation</t>
  </si>
  <si>
    <t xml:space="preserve">    10 10 16 - Non-Hazardous - Waste crack-indicating agent other than those mentioned in 10 10 15</t>
  </si>
  <si>
    <t>NACE F - 43.23 Installation of insulation</t>
  </si>
  <si>
    <t xml:space="preserve">    10 10 99 - Non-Hazardous - Wastes not otherwise specified</t>
  </si>
  <si>
    <t>NACE F - 43.24 Other construction installation</t>
  </si>
  <si>
    <t xml:space="preserve">  10 11 - Wastes from manufacture of glass and glass products</t>
  </si>
  <si>
    <t xml:space="preserve">    10 11 03 - Non-Hazardous - Waste glass-based fibrous materials</t>
  </si>
  <si>
    <t>NACE F - 43.31 Plastering</t>
  </si>
  <si>
    <t xml:space="preserve">    10 11 05 - Non-Hazardous - Particulates and dust</t>
  </si>
  <si>
    <t>NACE F - 43.32 Joinery installation</t>
  </si>
  <si>
    <t xml:space="preserve">    10 11 09 - Hazardous - Waste preparation mixture before thermal processing, containing hazardous substances</t>
  </si>
  <si>
    <t>NACE F - 43.33 Floor and wall covering</t>
  </si>
  <si>
    <t xml:space="preserve">    10 11 10 - Non-Hazardous - Waste preparation mixture before thermal processing, other than those mentioned in 10 11 09</t>
  </si>
  <si>
    <t>NACE F - 43.34 Painting and glazing</t>
  </si>
  <si>
    <t xml:space="preserve">    10 11 11 - Hazardous - Waste glass in small particles and glass powder containing heavy metals (for example from cathode ray tubes)</t>
  </si>
  <si>
    <t>NACE F - 43.35 Other building completion and finishing</t>
  </si>
  <si>
    <t xml:space="preserve">    10 11 12 - Non-Hazardous - Waste glass other than those mentioned in 10 11 11</t>
  </si>
  <si>
    <t xml:space="preserve">    10 11 13 - Hazardous - Glass-polishing and -grinding sludge containing hazardous substances</t>
  </si>
  <si>
    <t>NACE F - 43.41 Roofing activities</t>
  </si>
  <si>
    <t xml:space="preserve">    10 11 14 - Non-Hazardous - Glass-polishing and -grinding sludge other than those mentioned in 10 11 13</t>
  </si>
  <si>
    <t>NACE F - 43.42 Other specialised construction activities in construction of buildings</t>
  </si>
  <si>
    <t xml:space="preserve">    10 11 15 - Hazardous - Solid wastes from flue-gas treatment containing hazardous substances</t>
  </si>
  <si>
    <t xml:space="preserve">    10 11 16 - Non-Hazardous - Solid wastes from flue-gas treatment other than those mentioned in 10 11 15</t>
  </si>
  <si>
    <t>NACE F - 43.50 Specialised construction activities in civil engineering</t>
  </si>
  <si>
    <t xml:space="preserve">    10 11 17 - Hazardous - Sludges and filter cakes from flue-gas treatment containing hazardous substances</t>
  </si>
  <si>
    <t xml:space="preserve">    10 11 18 - Non-Hazardous - Sludges and filter cakes from flue-gas treatment other than those mentioned in 10 11 17</t>
  </si>
  <si>
    <t>NACE F - 43.60 Intermediation service activities for specialised construction services</t>
  </si>
  <si>
    <t xml:space="preserve">    10 11 19 - Hazardous - Solid wastes from on-site effluent treatment containing hazardous substances</t>
  </si>
  <si>
    <t xml:space="preserve">    10 11 20 - Non-Hazardous - Solid wastes from on-site effluent treatment other than those mentioned in 10 11 19</t>
  </si>
  <si>
    <t>NACE F - 43.91 Masonry and bricklaying activities</t>
  </si>
  <si>
    <t xml:space="preserve">    10 11 99 - Non-Hazardous - Wastes not otherwise specified</t>
  </si>
  <si>
    <t>NACE F - 43.99 Other specialised construction activities n.e.c.</t>
  </si>
  <si>
    <t xml:space="preserve">  10 12 - Wastes from manufacture of ceramic goods, bricks, tiles and construction products</t>
  </si>
  <si>
    <t xml:space="preserve">    10 12 01 - Non-Hazardous - Waste preparation mixture before thermal processing</t>
  </si>
  <si>
    <t xml:space="preserve">    10 12 03 - Non-Hazardous - Particulates and dust</t>
  </si>
  <si>
    <t xml:space="preserve">    10 12 05 - Non-Hazardous - Sludges and filter cakes from gas treatment</t>
  </si>
  <si>
    <t>NACE G - 46.11 Activities of agents involved in the wholesale of agricultural raw materials, live animals, textile raw materials and semi-finished goods</t>
  </si>
  <si>
    <t xml:space="preserve">    10 12 06 - Non-Hazardous - Discarded moulds</t>
  </si>
  <si>
    <t>NACE G - 46.12 Activities of agents involved in the wholesale of fuels, ores, metals and industrial chemicals</t>
  </si>
  <si>
    <t xml:space="preserve">    10 12 08 - Non-Hazardous - Waste ceramics, bricks, tiles and construction products (after thermal processing)</t>
  </si>
  <si>
    <t>NACE G - 46.13 Activities of agents involved in the wholesale of timber and building materials</t>
  </si>
  <si>
    <t xml:space="preserve">    10 12 09 - Hazardous - Solid wastes from gas treatment containing hazardous substances</t>
  </si>
  <si>
    <t>NACE G - 46.14 Activities of agents involved in the wholesale of machinery, industrial equipment, ships and aircraft</t>
  </si>
  <si>
    <t xml:space="preserve">    10 12 10 - Non-Hazardous - Solid wastes from gas treatment other than those mentioned in 10 12 09</t>
  </si>
  <si>
    <t>NACE G - 46.15 Activities of agents involved in the wholesale of furniture, household goods, hardware and ironmongery</t>
  </si>
  <si>
    <t xml:space="preserve">    10 12 11 - Hazardous - Wastes from glazing containing heavy metals</t>
  </si>
  <si>
    <t>NACE G - 46.16 Activities of agents involved in the wholesale of textiles, clothing, fur, footwear and leather goods</t>
  </si>
  <si>
    <t xml:space="preserve">    10 12 12 - Non-Hazardous - Wastes from glazing other than those mentioned in 10 12 11</t>
  </si>
  <si>
    <t>NACE G - 46.17 Activities of agents involved in the wholesale of food, beverages and tobacco</t>
  </si>
  <si>
    <t xml:space="preserve">    10 12 13 - Non-Hazardous - Sludge from on-site effluent treatment</t>
  </si>
  <si>
    <t>NACE G - 46.18 Activities of agents involved in the wholesale of other particular products</t>
  </si>
  <si>
    <t xml:space="preserve">    10 12 99 - Non-Hazardous - Wastes not otherwise specified</t>
  </si>
  <si>
    <t>NACE G - 46.19 Activities of agents involved in non-specialised wholesale</t>
  </si>
  <si>
    <t xml:space="preserve">  10 13 - Wastes from manufacture of cement, lime and plaster and articles and products made from them</t>
  </si>
  <si>
    <t xml:space="preserve">    10 13 01 - Non-Hazardous - Waste preparation mixture before thermal processing</t>
  </si>
  <si>
    <t>NACE G - 46.21 Wholesale of grain, unmanufactured tobacco, seeds and animal feeds</t>
  </si>
  <si>
    <t xml:space="preserve">    10 13 04 - Non-Hazardous - Wastes from calcination and hydration of lime</t>
  </si>
  <si>
    <t>NACE G - 46.22 Wholesale of flowers and plants</t>
  </si>
  <si>
    <t xml:space="preserve">    10 13 06 - Non-Hazardous - Particulates and dust (except 10 13 12 and 10 13 13)</t>
  </si>
  <si>
    <t>NACE G - 46.23 Wholesale of live animals</t>
  </si>
  <si>
    <t xml:space="preserve">    10 13 07 - Non-Hazardous - Sludges and filter cakes from gas treatment</t>
  </si>
  <si>
    <t>NACE G - 46.24 Wholesale of hides, skins and leather</t>
  </si>
  <si>
    <t xml:space="preserve">    10 13 09 - Hazardous - Wastes from asbestos-cement manufacture containing asbestos</t>
  </si>
  <si>
    <t xml:space="preserve">    10 13 10 - Non-Hazardous - Wastes from asbestos-cement manufacture other than those mentioned in 10 13 09</t>
  </si>
  <si>
    <t>NACE G - 46.31 Wholesale of fruit and vegetables</t>
  </si>
  <si>
    <t xml:space="preserve">    10 13 11 - Non-Hazardous - Wastes from cement-based composite materials other than those mentioned in 10 13 09 and 10 13 10</t>
  </si>
  <si>
    <t>NACE G - 46.32 Wholesale of meat, meat products, fish and fish products</t>
  </si>
  <si>
    <t xml:space="preserve">    10 13 12 - Hazardous - Solid wastes from gas treatment containing hazardous substances</t>
  </si>
  <si>
    <t>NACE G - 46.33 Wholesale of dairy products, eggs and edible oils and fats</t>
  </si>
  <si>
    <t xml:space="preserve">    10 13 13 - Non-Hazardous - Solid wastes from gas treatment other than those mentioned in 10 13 12</t>
  </si>
  <si>
    <t>NACE G - 46.34 Wholesale of beverages</t>
  </si>
  <si>
    <t xml:space="preserve">    10 13 14 - Non-Hazardous - Waste concrete and concrete sludge</t>
  </si>
  <si>
    <t>NACE G - 46.35 Wholesale of tobacco products</t>
  </si>
  <si>
    <t xml:space="preserve">    10 13 99 - Non-Hazardous - Wastes not otherwise specified</t>
  </si>
  <si>
    <t>NACE G - 46.36 Wholesale of sugar, chocolate and sugar confectionery</t>
  </si>
  <si>
    <t xml:space="preserve">  10 14 - Waste from crematoria</t>
  </si>
  <si>
    <t>NACE G - 46.37 Wholesale of coffee, tea, cocoa and spices</t>
  </si>
  <si>
    <t xml:space="preserve">    10 14 01 - Hazardous - Waste from gas cleaning containing mercury</t>
  </si>
  <si>
    <t>NACE G - 46.38 Wholesale of other food</t>
  </si>
  <si>
    <t>11 - WASTES FROM CHEMICAL SURFACE TREATMENT AND COATING OF METALS AND OTHER MATERIALS; NON-FERROUS HYDRO-METALLURGY</t>
  </si>
  <si>
    <t>NACE G - 46.39 Non-specialised wholesale of food, beverages and tobacco</t>
  </si>
  <si>
    <t xml:space="preserve">  11 01 - Wastes from chemical surface treatment and coating of metals and other materials (for example galvanic processes, zinc coating processes, pickling processes, etching, phosphating, alkaline degreasing, anodising)</t>
  </si>
  <si>
    <t xml:space="preserve">    11 01 05 - Hazardous - Pickling acids</t>
  </si>
  <si>
    <t>NACE G - 46.41 Wholesale of textiles</t>
  </si>
  <si>
    <t xml:space="preserve">    11 01 06 - Hazardous - Acids not otherwise specified</t>
  </si>
  <si>
    <t>NACE G - 46.42 Wholesale of clothing and footwear</t>
  </si>
  <si>
    <t xml:space="preserve">    11 01 07 - Hazardous - Pickling bases</t>
  </si>
  <si>
    <t>NACE G - 46.43 Wholesale of electrical household appliances</t>
  </si>
  <si>
    <t xml:space="preserve">    11 01 08 - Hazardous - Phosphatising sludges</t>
  </si>
  <si>
    <t>NACE G - 46.44 Wholesale of china and glassware and cleaning materials</t>
  </si>
  <si>
    <t xml:space="preserve">    11 01 09 - Hazardous - Sludges and filter cakes containing hazardous substances</t>
  </si>
  <si>
    <t>NACE G - 46.45 Wholesale of perfume and cosmetics</t>
  </si>
  <si>
    <t xml:space="preserve">    11 01 10 - Non-Hazardous - Sludges and filter cakes other than those mentioned in 11 01 09</t>
  </si>
  <si>
    <t>NACE G - 46.46 Wholesale of pharmaceutical and medical goods</t>
  </si>
  <si>
    <t xml:space="preserve">    11 01 11 - Hazardous - Aqueous rinsing liquids containing hazardous substances</t>
  </si>
  <si>
    <t>NACE G - 46.47 Wholesale of household, office and shop furniture, carpets and lighting equipment</t>
  </si>
  <si>
    <t xml:space="preserve">    11 01 12 - Non-Hazardous - Aqueous rinsing liquids other than those mentioned in 11 01 11</t>
  </si>
  <si>
    <t>NACE G - 46.48 Wholesale of watches and jewellery</t>
  </si>
  <si>
    <t xml:space="preserve">    11 01 13 - Hazardous - Degreasing wastes containing hazardous substances</t>
  </si>
  <si>
    <t>NACE G - 46.49 Wholesale of other household goods</t>
  </si>
  <si>
    <t xml:space="preserve">    11 01 14 - Non-Hazardous - Degreasing wastes other than those mentioned in 11 01 13</t>
  </si>
  <si>
    <t xml:space="preserve">    11 01 15 - Hazardous - Eluate and sludges from membrane systems or ion exchange systems containing hazardous substances</t>
  </si>
  <si>
    <t>NACE G - 46.50 Wholesale of information and communication equipment</t>
  </si>
  <si>
    <t xml:space="preserve">    11 01 16 - Hazardous - Saturated or spent ion exchange resins</t>
  </si>
  <si>
    <t xml:space="preserve">    11 01 98 - Hazardous - Other wastes containing hazardous substances</t>
  </si>
  <si>
    <t>NACE G - 46.61 Wholesale of agricultural machinery, equipment and supplies</t>
  </si>
  <si>
    <t xml:space="preserve">    11 01 99 - Non-Hazardous - Wastes not otherwise specified</t>
  </si>
  <si>
    <t>NACE G - 46.62 Wholesale of machine tools</t>
  </si>
  <si>
    <t xml:space="preserve">  11 02 - Wastes from non-ferrous hydrometallurgical processes</t>
  </si>
  <si>
    <t>NACE G - 46.63 Wholesale of mining, construction and civil engineering machinery</t>
  </si>
  <si>
    <t xml:space="preserve">    11 02 02 - Hazardous - Sludges from zinc hydrometallurgy (including jarosite, goethite)</t>
  </si>
  <si>
    <t>NACE G - 46.64 Wholesale of other machinery and equipment</t>
  </si>
  <si>
    <t xml:space="preserve">    11 02 03 - Non-Hazardous - Wastes from the production of anodes for aqueous electrolytical processes</t>
  </si>
  <si>
    <t xml:space="preserve">    11 02 05 - Hazardous - Wastes from copper hydrometallurgical processes containing hazardous substances</t>
  </si>
  <si>
    <t>NACE G - 46.71 Wholesale of motor vehicles</t>
  </si>
  <si>
    <t xml:space="preserve">    11 02 06 - Non-Hazardous - Wastes from copper hydrometallurgical processes other than those mentioned in 11 02 05</t>
  </si>
  <si>
    <t>NACE G - 46.72 Wholesale of motor vehicle parts and accessories</t>
  </si>
  <si>
    <t xml:space="preserve">    11 02 07 - Hazardous - Other wastes containing hazardous substances</t>
  </si>
  <si>
    <t>NACE G - 46.73 Wholesale of motorcycles, motorcycle parts and accessories</t>
  </si>
  <si>
    <t xml:space="preserve">    11 02 99 - Non-Hazardous - Wastes not otherwise specified</t>
  </si>
  <si>
    <t xml:space="preserve">  11 03 - Sludges and solids from tempering processes</t>
  </si>
  <si>
    <t>NACE G - 46.81 Wholesale of solid, liquid and gaseous fuels and related products</t>
  </si>
  <si>
    <t xml:space="preserve">    11 03 01 - Hazardous - Wastes containing cyanide</t>
  </si>
  <si>
    <t>NACE G - 46.82 Wholesale of metals and metal ores</t>
  </si>
  <si>
    <t xml:space="preserve">    11 03 02 - Hazardous - Other wastes</t>
  </si>
  <si>
    <t>NACE G - 46.83 Wholesale of wood, construction materials and sanitary equipment</t>
  </si>
  <si>
    <t xml:space="preserve">  11 05 - Wastes from hot galvanising processes</t>
  </si>
  <si>
    <t>NACE G - 46.84 Wholesale of hardware, plumbing and heating equipment and supplies</t>
  </si>
  <si>
    <t xml:space="preserve">    11 05 01 - Non-Hazardous - Hard zinc</t>
  </si>
  <si>
    <t>NACE G - 46.85 Wholesale of chemical products</t>
  </si>
  <si>
    <t xml:space="preserve">    11 05 02 - Non-Hazardous - Zinc ash</t>
  </si>
  <si>
    <t>NACE G - 46.86 Wholesale of other intermediate products</t>
  </si>
  <si>
    <t xml:space="preserve">    11 05 03 - Hazardous - Solid wastes from gas treatment</t>
  </si>
  <si>
    <t>NACE G - 46.87 Wholesale of waste and scrap</t>
  </si>
  <si>
    <t xml:space="preserve">    11 05 04 - Hazardous - Spent flux</t>
  </si>
  <si>
    <t>NACE G - 46.89 Other specialised wholesale n.e.c.</t>
  </si>
  <si>
    <t xml:space="preserve">    11 05 99 - Non-Hazardous - Wastes not otherwise specified</t>
  </si>
  <si>
    <t>12 - WASTES FROM SHAPING AND PHYSICAL AND MECHANICAL SURFACE TREATMENT OF METALS AND PLASTICS</t>
  </si>
  <si>
    <t>NACE G - 46.90 Non-specialised wholesale trade</t>
  </si>
  <si>
    <t xml:space="preserve">  12 01 - Wastes from shaping and physical and mechanical surface treatment of metals and plastics</t>
  </si>
  <si>
    <t xml:space="preserve">    12 01 01 - Non-Hazardous - Ferrous metal filings and turnings</t>
  </si>
  <si>
    <t xml:space="preserve">    12 01 02 - Non-Hazardous - Ferrous metal dust and particles</t>
  </si>
  <si>
    <t>NACE G - 47.11 Non-specialised retail sale of predominately food, beverages or tobacco</t>
  </si>
  <si>
    <t xml:space="preserve">    12 01 03 - Non-Hazardous - Non-ferrous metal filings and turnings</t>
  </si>
  <si>
    <t>NACE G - 47.12 Other non-specialised retail sale</t>
  </si>
  <si>
    <t xml:space="preserve">    12 01 04 - Non-Hazardous - Non-ferrous metal dust and particles</t>
  </si>
  <si>
    <t xml:space="preserve">    12 01 05 - Non-Hazardous - Plastics shavings and turnings</t>
  </si>
  <si>
    <t>NACE G - 47.21 Retail sale of fruit and vegetables</t>
  </si>
  <si>
    <t xml:space="preserve">    12 01 06 - Hazardous - Mineral-based machining oils containing halogens (except emulsions and solutions)</t>
  </si>
  <si>
    <t>NACE G - 47.22 Retail sale of meat and meat products</t>
  </si>
  <si>
    <t xml:space="preserve">    12 01 07 - Hazardous - Mineral-based machining oils free of halogens (except emulsions and solutions)</t>
  </si>
  <si>
    <t>NACE G - 47.23 Retail sale of fish, crustaceans and molluscs</t>
  </si>
  <si>
    <t xml:space="preserve">    12 01 08 - Hazardous - Machining emulsions and solutions containing halogens</t>
  </si>
  <si>
    <t>NACE G - 47.24 Retail sale of bread, cake and confectionery</t>
  </si>
  <si>
    <t xml:space="preserve">    12 01 09 - Hazardous - Machining emulsions and solutions free of halogens</t>
  </si>
  <si>
    <t>NACE G - 47.25 Retail sale of beverages</t>
  </si>
  <si>
    <t xml:space="preserve">    12 01 10 - Hazardous - Synthetic machining oils</t>
  </si>
  <si>
    <t>NACE G - 47.26 Retail sale of tobacco products</t>
  </si>
  <si>
    <t xml:space="preserve">    12 01 12 - Hazardous - Spent waxes and fats</t>
  </si>
  <si>
    <t>NACE G - 47.27 Retail sale of other food</t>
  </si>
  <si>
    <t xml:space="preserve">    12 01 13 - Non-Hazardous - Welding wastes</t>
  </si>
  <si>
    <t xml:space="preserve">    12 01 14 - Hazardous - Machining sludges containing hazardous substances</t>
  </si>
  <si>
    <t>NACE G - 47.30 Retail sale of automotive fuel</t>
  </si>
  <si>
    <t xml:space="preserve">    12 01 15 - Non-Hazardous - Machining sludges other than those mentioned in 12 01 14</t>
  </si>
  <si>
    <t xml:space="preserve">    12 01 16 - Hazardous - Waste blasting material containing hazardous substances</t>
  </si>
  <si>
    <t>NACE G - 47.40 Retail sale of information and communication equipment</t>
  </si>
  <si>
    <t xml:space="preserve">    12 01 17 - Non-Hazardous - Waste blasting material other than those mentioned in 12 01 16</t>
  </si>
  <si>
    <t xml:space="preserve">    12 01 18 - Hazardous - Metal sludge (grinding, honing and lapping sludge) containing oil</t>
  </si>
  <si>
    <t>NACE G - 47.51 Retail sale of textiles</t>
  </si>
  <si>
    <t xml:space="preserve">    12 01 19 - Hazardous - Readily biodegradable machining oil</t>
  </si>
  <si>
    <t>NACE G - 47.52 Retail sale of hardware, building materials, paints and glass</t>
  </si>
  <si>
    <t xml:space="preserve">    12 01 20 - Hazardous - Spent grinding bodies and grinding materials containing hazardous substances</t>
  </si>
  <si>
    <t>NACE G - 47.53 Retail sale of carpets, rugs, wall and floor coverings</t>
  </si>
  <si>
    <t xml:space="preserve">    12 01 21 - Non-Hazardous - Spent grinding bodies and grinding materials other than those mentioned in 12 01 20</t>
  </si>
  <si>
    <t>NACE G - 47.54 Retail sale of electrical household appliances</t>
  </si>
  <si>
    <t xml:space="preserve">    12 01 99 - Non-Hazardous - Wastes not otherwise specified</t>
  </si>
  <si>
    <t>NACE G - 47.55 Retail sale of furniture, lighting equipment, tableware and other household goods</t>
  </si>
  <si>
    <t xml:space="preserve">  12 03 - Wastes from water and steam degreasing processes (except 11)</t>
  </si>
  <si>
    <t xml:space="preserve">    12 03 01 - Hazardous - Aqueous washing liquids</t>
  </si>
  <si>
    <t>NACE G - 47.61 Retail sale of books</t>
  </si>
  <si>
    <t xml:space="preserve">    12 03 02 - Hazardous - Steam degreasing wastes</t>
  </si>
  <si>
    <t>NACE G - 47.62 Retail sale of newspapers, and other periodical publications and stationery</t>
  </si>
  <si>
    <t>13 - OIL WASTES AND WASTES OF LIQUID FUELS (except edible oils, and those in chapters 05, 12 and 19)</t>
  </si>
  <si>
    <t>NACE G - 47.63 Retail sale of sporting equipment</t>
  </si>
  <si>
    <t xml:space="preserve">  13 01 - Waste hydraulic oils</t>
  </si>
  <si>
    <t>NACE G - 47.64 Retail sale of games and toys</t>
  </si>
  <si>
    <t xml:space="preserve">    13 01 01 - Hazardous - Hydraulic oils, containing PCBs</t>
  </si>
  <si>
    <t>NACE G - 47.69 Retail sale of cultural and recreational goods n.e.c.</t>
  </si>
  <si>
    <t xml:space="preserve">    13 01 04 - Hazardous - Chlorinated emulsions</t>
  </si>
  <si>
    <t xml:space="preserve">    13 01 05 - Hazardous - Non-chlorinated emulsions</t>
  </si>
  <si>
    <t>NACE G - 47.71 Retail sale of clothing</t>
  </si>
  <si>
    <t xml:space="preserve">    13 01 09 - Hazardous - Mineral-based chlorinated hydraulic oils</t>
  </si>
  <si>
    <t>NACE G - 47.72 Retail sale of footwear and leather goods</t>
  </si>
  <si>
    <t xml:space="preserve">    13 01 10 - Hazardous - Mineral based non-chlorinated hydraulic oils</t>
  </si>
  <si>
    <t>NACE G - 47.73 Retail sale of pharmaceutical products</t>
  </si>
  <si>
    <t xml:space="preserve">    13 01 11 - Hazardous - Synthetic hydraulic oils</t>
  </si>
  <si>
    <t>NACE G - 47.74 Retail sale of medical and orthopaedic goods</t>
  </si>
  <si>
    <t xml:space="preserve">    13 01 12 - Hazardous - Readily biodegradable hydraulic oils</t>
  </si>
  <si>
    <t>NACE G - 47.75 Retail sale of cosmetic and toilet articles</t>
  </si>
  <si>
    <t xml:space="preserve">    13 01 13 - Hazardous - Other hydraulic oils</t>
  </si>
  <si>
    <t>NACE G - 47.76 Retail sale of flowers, plants, fertilisers, pets and pet food</t>
  </si>
  <si>
    <t xml:space="preserve">  13 02 - Waste engine, gear and lubricating oils</t>
  </si>
  <si>
    <t>NACE G - 47.77 Retail sale of watches and jewellery</t>
  </si>
  <si>
    <t xml:space="preserve">    13 02 04 - Hazardous - Mineral-based chlorinated engine, gear and lubricating oils</t>
  </si>
  <si>
    <t>NACE G - 47.78 Retail sale of other new goods</t>
  </si>
  <si>
    <t xml:space="preserve">    13 02 05 - Hazardous - Mineral-based non-chlorinated engine, gear and lubricating oils</t>
  </si>
  <si>
    <t>NACE G - 47.79 Retail sale of second-hand goods</t>
  </si>
  <si>
    <t xml:space="preserve">    13 02 06 - Hazardous - Synthetic engine, gear and lubricating oils</t>
  </si>
  <si>
    <t xml:space="preserve">    13 02 07 - Hazardous - Readily biodegradable engine, gear and lubricating oils</t>
  </si>
  <si>
    <t>NACE G - 47.81 Retail sale of motor vehicles</t>
  </si>
  <si>
    <t xml:space="preserve">    13 02 08 - Hazardous - Other engine, gear and lubricating oils</t>
  </si>
  <si>
    <t>NACE G - 47.82 Retail sale of motor vehicle parts and accessories</t>
  </si>
  <si>
    <t xml:space="preserve">  13 03 - Waste insulating and heat transmission oils</t>
  </si>
  <si>
    <t>NACE G - 47.83 Retail sale of motorcycles, motorcycle parts and accessories</t>
  </si>
  <si>
    <t xml:space="preserve">    13 03 01 - Hazardous - Insulating or heat transmission oils containing PCBs</t>
  </si>
  <si>
    <t xml:space="preserve">    13 03 06 - Hazardous - Mineral-based chlorinated insulating and heat transmission oils other than those mentioned in 13 03 01</t>
  </si>
  <si>
    <t>NACE G - 47.91 Intermediation service activities for non-specialised retail sale</t>
  </si>
  <si>
    <t xml:space="preserve">    13 03 07 - Hazardous - Mineral-based non-chlorinated insulating and heat transmission oils</t>
  </si>
  <si>
    <t>NACE G - 47.92 Intermediation service activities for specialised retail sale</t>
  </si>
  <si>
    <t xml:space="preserve">    13 03 08 - Hazardous - Synthetic insulating and heat transmission oils</t>
  </si>
  <si>
    <t xml:space="preserve">    13 03 09 - Hazardous - Readily biodegradable insulating and heat transmission oils</t>
  </si>
  <si>
    <t xml:space="preserve">    13 03 10 - Hazardous - Other insulating and heat transmission oils</t>
  </si>
  <si>
    <t xml:space="preserve">  13 04 - Bilge oils</t>
  </si>
  <si>
    <t>NACE H - 49.11 Passenger heavy rail transport</t>
  </si>
  <si>
    <t xml:space="preserve">    13 04 01 - Hazardous - Bilge oils from inland navigation</t>
  </si>
  <si>
    <t>NACE H - 49.12 Other passenger rail transport</t>
  </si>
  <si>
    <t xml:space="preserve">    13 04 02 - Hazardous - Bilge oils from jetty sewers</t>
  </si>
  <si>
    <t xml:space="preserve">    13 04 03 - Hazardous - Bilge oils from other navigation</t>
  </si>
  <si>
    <t>NACE H - 49.20 Freight rail transport</t>
  </si>
  <si>
    <t xml:space="preserve">  13 05 - Oil/water separator contents</t>
  </si>
  <si>
    <t xml:space="preserve">    13 05 01 - Hazardous - Solids from grit chambers and oil/water separators</t>
  </si>
  <si>
    <t>NACE H - 49.31 Scheduled passenger transport by road</t>
  </si>
  <si>
    <t xml:space="preserve">    13 05 02 - Hazardous - Sludges from oil/water separators</t>
  </si>
  <si>
    <t>NACE H - 49.32 Non-scheduled passenger transport by road</t>
  </si>
  <si>
    <t xml:space="preserve">    13 05 03 - Hazardous - Interceptor sludges</t>
  </si>
  <si>
    <t>NACE H - 49.33 On-demand passenger transport service activities by vehicle with driver</t>
  </si>
  <si>
    <t xml:space="preserve">    13 05 06 - Hazardous - Oil from oil/water separators</t>
  </si>
  <si>
    <t>NACE H - 49.34 Passenger transport by cableways and ski lifts</t>
  </si>
  <si>
    <t xml:space="preserve">    13 05 07 - Hazardous - Oily water from oil/water separators</t>
  </si>
  <si>
    <t>NACE H - 49.39 Other passenger land transport n.e.c.</t>
  </si>
  <si>
    <t xml:space="preserve">    13 05 08 - Hazardous - Mixtures of wastes from grit chambers and oil/water separators</t>
  </si>
  <si>
    <t xml:space="preserve">  13 07 - Wastes of liquid fuels</t>
  </si>
  <si>
    <t>NACE H - 49.41 Freight transport by road</t>
  </si>
  <si>
    <t xml:space="preserve">    13 07 01 - Hazardous - Fuel oil and diesel</t>
  </si>
  <si>
    <t>NACE H - 49.42 Removal services</t>
  </si>
  <si>
    <t xml:space="preserve">    13 07 02 - Hazardous - Petrol</t>
  </si>
  <si>
    <t xml:space="preserve">    13 07 03 - Hazardous - Other fuels (including mixtures)</t>
  </si>
  <si>
    <t>NACE H - 49.50 Transport via pipeline</t>
  </si>
  <si>
    <t xml:space="preserve">  13 08 - Oil wastes not otherwise specified</t>
  </si>
  <si>
    <t xml:space="preserve">    13 08 01 - Hazardous - Desalter sludges or emulsions</t>
  </si>
  <si>
    <t xml:space="preserve">    13 08 02 - Hazardous - Other emulsions</t>
  </si>
  <si>
    <t>NACE H - 50.10 Sea and coastal passenger water transport</t>
  </si>
  <si>
    <t xml:space="preserve">    13 08 99 - Hazardous - Wastes not otherwise specified</t>
  </si>
  <si>
    <t>14 - WASTE ORGANIC SOLVENTS, REFRIGERANTS AND PROPELLANTS (except 07 and 08)</t>
  </si>
  <si>
    <t>NACE H - 50.20 Sea and coastal freight water transport</t>
  </si>
  <si>
    <t xml:space="preserve">  14 06 - Waste organic solvents, refrigerants and foam/aerosol propellants</t>
  </si>
  <si>
    <t xml:space="preserve">    14 06 01 - Hazardous - Chlorofluorocarbons, HCFC, HFC</t>
  </si>
  <si>
    <t>NACE H - 50.30 Inland passenger water transport</t>
  </si>
  <si>
    <t xml:space="preserve">    14 06 02 - Hazardous - Other halogenated solvents and solvent mixtures</t>
  </si>
  <si>
    <t xml:space="preserve">    14 06 03 - Hazardous - Other solvents and solvent mixtures</t>
  </si>
  <si>
    <t>NACE H - 50.40 Inland freight water transport</t>
  </si>
  <si>
    <t xml:space="preserve">    14 06 04 - Hazardous - Sludges or solid wastes containing halogenated solvents</t>
  </si>
  <si>
    <t xml:space="preserve">    14 06 05 - Hazardous - Sludges or solid wastes containing other solvents</t>
  </si>
  <si>
    <t>15 - WASTE PACKAGING; ABSORBENTS, WIPING CLOTHS, FILTER MATERIALS AND PROTECTIVE CLOTHING NOT OTHERWISE SPECIFIED</t>
  </si>
  <si>
    <t>NACE H - 51.10 Passenger air transport</t>
  </si>
  <si>
    <t xml:space="preserve">  15 01 - Packaging (including separately collected municipal packaging waste)</t>
  </si>
  <si>
    <t xml:space="preserve">    15 01 01 - Non-Hazardous - Paper and cardboard packaging</t>
  </si>
  <si>
    <t>NACE H - 51.21 Freight air transport</t>
  </si>
  <si>
    <t xml:space="preserve">    15 01 02 - Non-Hazardous - Plastic packaging</t>
  </si>
  <si>
    <t>NACE H - 51.22 Space transport</t>
  </si>
  <si>
    <t xml:space="preserve">    15 01 03 - Non-Hazardous - Wooden packaging</t>
  </si>
  <si>
    <t xml:space="preserve">    15 01 04 - Non-Hazardous - Metallic packaging</t>
  </si>
  <si>
    <t xml:space="preserve">    15 01 05 - Non-Hazardous - Composite packaging</t>
  </si>
  <si>
    <t>NACE H - 52.10 Warehousing and storage</t>
  </si>
  <si>
    <t xml:space="preserve">    15 01 06 - Non-Hazardous - Mixed packaging</t>
  </si>
  <si>
    <t xml:space="preserve">    15 01 07 - Non-Hazardous - Glass packaging</t>
  </si>
  <si>
    <t>NACE H - 52.21 Service activities incidental to land transportation</t>
  </si>
  <si>
    <t xml:space="preserve">    15 01 09 - Non-Hazardous - Textile packaging</t>
  </si>
  <si>
    <t>NACE H - 52.22 Service activities incidental to water transportation</t>
  </si>
  <si>
    <t xml:space="preserve">    15 01 10 - Hazardous - Packaging containing residues of or contaminated by hazardous substances</t>
  </si>
  <si>
    <t>NACE H - 52.23 Service activities incidental to air transportation</t>
  </si>
  <si>
    <t xml:space="preserve">    15 01 11 - Hazardous - Metallic packaging containing a hazardous solid porous matrix (for example asbestos), including empty pressure containers</t>
  </si>
  <si>
    <t>NACE H - 52.24 Cargo handling</t>
  </si>
  <si>
    <t xml:space="preserve">  15 02 - Absorbents, filter materials, wiping cloths and protective clothing</t>
  </si>
  <si>
    <t>NACE H - 52.25 Logistics service activities</t>
  </si>
  <si>
    <t xml:space="preserve">    15 02 02 - Hazardous - Absorbents, filter materials (including oil filters not otherwise specified), wiping cloths, protective clothing contaminated by hazardous substances</t>
  </si>
  <si>
    <t>NACE H - 52.26 Other support activities for transportation</t>
  </si>
  <si>
    <t xml:space="preserve">    15 02 03 - Non-Hazardous - Absorbents, filter materials, wiping cloths and protective clothing other than those mentioned in 15 02 02</t>
  </si>
  <si>
    <t>16 - WASTES NOT OTHERWISE SPECIFIED IN THE LIST</t>
  </si>
  <si>
    <t>NACE H - 52.31 Intermediation service activities for freight transportation</t>
  </si>
  <si>
    <t xml:space="preserve">  16 01 - End-of-life vehicles from different means of transport (including off-road machinery) and wastes from dismantling of end-of-life vehicles and vehicle maintenance (except 13, 14, 16 06 and 16 08)</t>
  </si>
  <si>
    <t>NACE H - 52.32 Intermediation service activities for passenger transportation</t>
  </si>
  <si>
    <t xml:space="preserve">    16 01 03 - Non-Hazardous - End-of-life tyres</t>
  </si>
  <si>
    <t xml:space="preserve">    16 01 04 - Hazardous - End-of-life vehicles</t>
  </si>
  <si>
    <t xml:space="preserve">    16 01 06 - Non-Hazardous - End-of-life vehicles, containing neither liquids nor other hazardous components</t>
  </si>
  <si>
    <t>NACE H - 53.10 Postal activities under universal service obligation</t>
  </si>
  <si>
    <t xml:space="preserve">    16 01 07 - Hazardous - Oil filters</t>
  </si>
  <si>
    <t xml:space="preserve">    16 01 08 - Hazardous - Components containing mercury</t>
  </si>
  <si>
    <t>NACE H - 53.20 Other postal and courier activities</t>
  </si>
  <si>
    <t xml:space="preserve">    16 01 09 - Hazardous - Components containing PCBs</t>
  </si>
  <si>
    <t xml:space="preserve">    16 01 10 - Hazardous - Explosive components (for example air bags)</t>
  </si>
  <si>
    <t>NACE H - 53.30 Intermediation service activities for postal and courier activities</t>
  </si>
  <si>
    <t xml:space="preserve">    16 01 11 - Hazardous - Brake pads containing asbestos</t>
  </si>
  <si>
    <t xml:space="preserve">    16 01 12 - Non-Hazardous - Brake pads other than those mentioned in 16 01 11</t>
  </si>
  <si>
    <t xml:space="preserve">    16 01 13 - Hazardous - Brake fluids</t>
  </si>
  <si>
    <t xml:space="preserve">    16 01 14 - Hazardous - Antifreeze fluids containing hazardous substances</t>
  </si>
  <si>
    <t>NACE I - 55.10 Hotels and similar accommodation</t>
  </si>
  <si>
    <t xml:space="preserve">    16 01 15 - Non-Hazardous - Antifreeze fluids other than those mentioned in 16 01 14</t>
  </si>
  <si>
    <t xml:space="preserve">    16 01 16 - Non-Hazardous - Tanks for liquefied gas</t>
  </si>
  <si>
    <t>NACE I - 55.20 Holiday and other short-stay accommodation</t>
  </si>
  <si>
    <t xml:space="preserve">    16 01 17 - Non-Hazardous - Ferrous metal</t>
  </si>
  <si>
    <t xml:space="preserve">    16 01 18 - Non-Hazardous - Non-ferrous metal</t>
  </si>
  <si>
    <t>NACE I - 55.30 Camping grounds and recreational vehicle parks</t>
  </si>
  <si>
    <t xml:space="preserve">    16 01 19 - Non-Hazardous - Plastic</t>
  </si>
  <si>
    <t xml:space="preserve">    16 01 20 - Non-Hazardous - Glass</t>
  </si>
  <si>
    <t>NACE I - 55.40 Intermediation service activities for accommodation</t>
  </si>
  <si>
    <t xml:space="preserve">    16 01 21 - Hazardous - Hazardous components other than those mentioned in 16 01 07 to 16 01 11 and 16 01 13 and 16 01 14</t>
  </si>
  <si>
    <t xml:space="preserve">    16 01 22 - Non-Hazardous - Components not otherwise specified</t>
  </si>
  <si>
    <t>NACE I - 55.90 Other accommodation</t>
  </si>
  <si>
    <t xml:space="preserve">    16 01 99 - Non-Hazardous - Wastes not otherwise specified</t>
  </si>
  <si>
    <t xml:space="preserve">  16 02 - Wastes from electrical and electronic equipment</t>
  </si>
  <si>
    <t xml:space="preserve">    16 02 09 - Hazardous - Transformers and capacitors containing PCBs</t>
  </si>
  <si>
    <t>NACE I - 56.11 Restaurant activities</t>
  </si>
  <si>
    <t xml:space="preserve">    16 02 10 - Hazardous - Discarded equipment containing or contaminated by PCBs other than those mentioned in 16 02 09</t>
  </si>
  <si>
    <t>NACE I - 56.12 Mobile food service activities</t>
  </si>
  <si>
    <t xml:space="preserve">    16 02 11 - Hazardous - Discarded equipment containing chlorofluorocarbons, HCFC, HFC</t>
  </si>
  <si>
    <t xml:space="preserve">    16 02 12 - Hazardous - Discarded equipment containing free asbestos</t>
  </si>
  <si>
    <t xml:space="preserve">    16 02 13 - Hazardous - Discarded equipment containing hazardous components (3) other than those mentioned in 16 02 09 to 16 02 12</t>
  </si>
  <si>
    <t>NACE I - 56.22 Contract catering service activities and other food service activities</t>
  </si>
  <si>
    <t xml:space="preserve">    16 02 14 - Non-Hazardous - Discarded equipment other than those mentioned in 16 02 09 to 16 02 13</t>
  </si>
  <si>
    <t xml:space="preserve">    16 02 15 - Hazardous - Hazardous components removed from discarded equipment</t>
  </si>
  <si>
    <t>NACE I - 56.30 Beverage serving activities</t>
  </si>
  <si>
    <t xml:space="preserve">    16 02 16 - Non-Hazardous - Components removed from discarded equipment other than those mentioned in 16 02 15</t>
  </si>
  <si>
    <t xml:space="preserve">  16 03 - Off-specification batches and unused products</t>
  </si>
  <si>
    <t>NACE I - 56.40 Intermediation service activities for food and beverage services activities</t>
  </si>
  <si>
    <t xml:space="preserve">    16 03 03 - Hazardous - Inorganic wastes containing hazardous substances</t>
  </si>
  <si>
    <t xml:space="preserve">    16 03 04 - Non-Hazardous - Inorganic wastes other than those mentioned in 16 03 03</t>
  </si>
  <si>
    <t xml:space="preserve">    16 03 05 - Hazardous - Organic wastes containing hazardous substances</t>
  </si>
  <si>
    <t xml:space="preserve">    16 03 06 - Non-Hazardous - Organic wastes other than those mentioned in 16 03 05</t>
  </si>
  <si>
    <t>NACE J - 58.11 Publishing of books</t>
  </si>
  <si>
    <t xml:space="preserve">    16 03 07 - Hazardous - Metallic mercury</t>
  </si>
  <si>
    <t>NACE J - 58.12 Publishing of newspapers</t>
  </si>
  <si>
    <t xml:space="preserve">  16 04 - Waste explosives</t>
  </si>
  <si>
    <t>NACE J - 58.13 Publishing of journals and periodicals</t>
  </si>
  <si>
    <t xml:space="preserve">    16 04 01 - Hazardous - Waste ammunition</t>
  </si>
  <si>
    <t>NACE J - 58.19 Other publishing activities, except software publishing</t>
  </si>
  <si>
    <t xml:space="preserve">    16 04 02 - Hazardous - Fireworks wastes</t>
  </si>
  <si>
    <t xml:space="preserve">    16 04 03 - Hazardous - Other waste explosives</t>
  </si>
  <si>
    <t>NACE J - 58.21 Publishing of video games</t>
  </si>
  <si>
    <t xml:space="preserve">  16 05 - Gases in pressure containers and discarded chemicals</t>
  </si>
  <si>
    <t>NACE J - 58.29 Other software publishing</t>
  </si>
  <si>
    <t xml:space="preserve">    16 05 04 - Hazardous - Gases in pressure containers (including halons) containing hazardous substances</t>
  </si>
  <si>
    <t xml:space="preserve">    16 05 05 - Non-Hazardous - Gases in pressure containers other than those mentioned in 16 05 04</t>
  </si>
  <si>
    <t xml:space="preserve">    16 05 06 - Hazardous - Laboratory chemicals, consisting of or containing hazardous substances, including mixtures of laboratory chemicals</t>
  </si>
  <si>
    <t>NACE J - 59.11 Motion picture, video and television programme production activities</t>
  </si>
  <si>
    <t xml:space="preserve">    16 05 07 - Hazardous - Discarded inorganic chemicals consisting of or containing hazardous substances</t>
  </si>
  <si>
    <t>NACE J - 59.12 Motion picture, video and television programme post-production activities</t>
  </si>
  <si>
    <t xml:space="preserve">    16 05 08 - Hazardous - Discarded organic chemicals consisting of or containing hazardous substances</t>
  </si>
  <si>
    <t>NACE J - 59.13 Motion picture and video distribution activities</t>
  </si>
  <si>
    <t xml:space="preserve">    16 05 09 - Non-Hazardous - Discarded chemicals other than those mentioned in 16 05 06, 16 05 07 or 16 05 08</t>
  </si>
  <si>
    <t>NACE J - 59.14 Motion picture projection activities</t>
  </si>
  <si>
    <t xml:space="preserve">  16 06 - Batteries and accumulators</t>
  </si>
  <si>
    <t xml:space="preserve">    16 06 01 - Hazardous - Lead batteries</t>
  </si>
  <si>
    <t>NACE J - 59.20 Sound recording and music publishing activities</t>
  </si>
  <si>
    <t xml:space="preserve">    16 06 02 - Hazardous - Ni-Cd batteries</t>
  </si>
  <si>
    <t xml:space="preserve">    16 06 03 - Hazardous - Mercury-containing batteries</t>
  </si>
  <si>
    <t xml:space="preserve">    16 06 04 - Non-Hazardous - Alkaline batteries (except 16 06 03)</t>
  </si>
  <si>
    <t>NACE J - 60.10 Radio broadcasting and audio distribution activities</t>
  </si>
  <si>
    <t xml:space="preserve">    16 06 05 - Non-Hazardous - Other batteries and accumulators</t>
  </si>
  <si>
    <t xml:space="preserve">    16 06 06 - Hazardous - Separately collected electrolyte from batteries and accumulators</t>
  </si>
  <si>
    <t>NACE J - 60.20 Television programming, broadcasting and video distribution activities</t>
  </si>
  <si>
    <t xml:space="preserve">  16 07 - Wastes from transport tank, storage tank and barrel cleaning (except 05 and 13)</t>
  </si>
  <si>
    <t xml:space="preserve">    16 07 08 - Hazardous - Wastes containing oil</t>
  </si>
  <si>
    <t>NACE J - 60.31 News agency activities</t>
  </si>
  <si>
    <t xml:space="preserve">    16 07 09 - Hazardous - Wastes containing other hazardous substances</t>
  </si>
  <si>
    <t>NACE J - 60.39 Other content distribution activities</t>
  </si>
  <si>
    <t xml:space="preserve">    16 07 99 - Non-Hazardous - Wastes not otherwise specified</t>
  </si>
  <si>
    <t xml:space="preserve">  16 08 - Spent catalysts</t>
  </si>
  <si>
    <t xml:space="preserve">    16 08 01 - Non-Hazardous - Spent catalysts containing gold, silver, rhenium, rhodium, palladium, iridium or platinum (except 16 08 07)</t>
  </si>
  <si>
    <t xml:space="preserve">    16 08 02 - Hazardous - Spent catalysts containing hazardous transition metals or hazardous transition metal compounds</t>
  </si>
  <si>
    <t>NACE K - 61.10 Wired, wireless, and satellite telecommunication activities</t>
  </si>
  <si>
    <t xml:space="preserve">    16 08 03 - Non-Hazardous - Spent catalysts containing transition metals or transition metal compounds not otherwise specified</t>
  </si>
  <si>
    <t xml:space="preserve">    16 08 04 - Non-Hazardous - Spent fluid catalytic cracking catalysts (except 16 08 07)</t>
  </si>
  <si>
    <t>NACE K - 61.20 Telecommunication reselling activities and intermediation service activities for telecommunication</t>
  </si>
  <si>
    <t xml:space="preserve">    16 08 05 - Hazardous - Spent catalysts containing phosphoric acid</t>
  </si>
  <si>
    <t xml:space="preserve">    16 08 06 - Hazardous - Spent liquids used as catalysts</t>
  </si>
  <si>
    <t>NACE K - 61.90 Other telecommunication activities</t>
  </si>
  <si>
    <t xml:space="preserve">    16 08 07 - Hazardous - Spent catalysts contaminated with hazardous substances</t>
  </si>
  <si>
    <t xml:space="preserve">  16 09 - Oxidising substances</t>
  </si>
  <si>
    <t xml:space="preserve">    16 09 01 - Hazardous - Permanganates, for example potassium permanganate</t>
  </si>
  <si>
    <t>NACE K - 62.10 Computer programming activities</t>
  </si>
  <si>
    <t xml:space="preserve">    16 09 02 - Hazardous - Chromates, for example potassium chromate, potassium or sodium dichromate</t>
  </si>
  <si>
    <t xml:space="preserve">    16 09 03 - Hazardous - Peroxides, for example hydrogen peroxide</t>
  </si>
  <si>
    <t>NACE K - 62.20 Computer consultancy and computer facilities management activities</t>
  </si>
  <si>
    <t xml:space="preserve">    16 09 04 - Hazardous - Oxidising substances, not otherwise specified</t>
  </si>
  <si>
    <t xml:space="preserve">  16 10 - Aqueous liquid wastes destined for off-site treatment</t>
  </si>
  <si>
    <t>NACE K - 62.90 Other information technology and computer service activities</t>
  </si>
  <si>
    <t xml:space="preserve">    16 10 01 - Hazardous - Aqueous liquid wastes containing hazardous substances</t>
  </si>
  <si>
    <t xml:space="preserve">    16 10 02 - Non-Hazardous - Aqueous liquid wastes other than those mentioned in 16 10 01</t>
  </si>
  <si>
    <t xml:space="preserve">    16 10 03 - Hazardous - Aqueous concentrates containing hazardous substances</t>
  </si>
  <si>
    <t>NACE K - 63.10 Computing infrastructure, data processing, hosting and related activities</t>
  </si>
  <si>
    <t xml:space="preserve">    16 10 04 - Non-Hazardous - Aqueous concentrates other than those mentioned in 16 10 03</t>
  </si>
  <si>
    <t xml:space="preserve">  16 11 - Waste linings and refractories</t>
  </si>
  <si>
    <t>NACE K - 63.91 Web search portal activities</t>
  </si>
  <si>
    <t xml:space="preserve">    16 11 01 - Hazardous - Carbon-based linings and refractories from metallurgical processes containing hazardous substances</t>
  </si>
  <si>
    <t>NACE K - 63.92 Other information service activities</t>
  </si>
  <si>
    <t xml:space="preserve">    16 11 02 - Non-Hazardous - Carbon-based linings and refractories from metallurgical processes others than those mentioned in 16 11 01</t>
  </si>
  <si>
    <t xml:space="preserve">    16 11 03 - Hazardous - Other linings and refractories from metallurgical processes containing hazardous substances</t>
  </si>
  <si>
    <t xml:space="preserve">    16 11 04 - Non-Hazardous - Other linings and refractories from metallurgical processes other than those mentioned in 16 11 03</t>
  </si>
  <si>
    <t xml:space="preserve">    16 11 05 - Hazardous - Linings and refractories from non-metallurgical processes containing hazardous substances</t>
  </si>
  <si>
    <t>NACE L - 64.11 Central banking</t>
  </si>
  <si>
    <t xml:space="preserve">    16 11 06 - Non-Hazardous - Linings and refractories from non-metallurgical processes others than those mentioned in 16 11 05</t>
  </si>
  <si>
    <t>NACE L - 64.19 Other monetary intermediation</t>
  </si>
  <si>
    <t>17 - CONSTRUCTION AND DEMOLITION WASTES (INCLUDING EXCAVATED SOIL FROM CONTAMINATED SITES)</t>
  </si>
  <si>
    <t xml:space="preserve">  17 01 - Concrete, bricks, tiles and ceramics</t>
  </si>
  <si>
    <t>NACE L - 64.21 Activities of holding companies</t>
  </si>
  <si>
    <t xml:space="preserve">    17 01 01 - Non-Hazardous - Concrete</t>
  </si>
  <si>
    <t>NACE L - 64.22 Activities of financing conduits</t>
  </si>
  <si>
    <t xml:space="preserve">    17 01 02 - Non-Hazardous - Bricks</t>
  </si>
  <si>
    <t xml:space="preserve">    17 01 03 - Non-Hazardous - Tiles and ceramics</t>
  </si>
  <si>
    <t>NACE L - 64.31 Activities of money market and non-money market investments funds</t>
  </si>
  <si>
    <t xml:space="preserve">    17 01 06 - Hazardous - Mixtures of, or separate fractions of concrete, bricks, tiles and ceramics containing hazardous substances</t>
  </si>
  <si>
    <t>NACE L - 64.32 Activities of trust, estate and agency accounts</t>
  </si>
  <si>
    <t xml:space="preserve">    17 01 07 - Non-Hazardous - Mixtures of concrete, bricks, tiles and ceramics other than those mentioned in 17 01 06</t>
  </si>
  <si>
    <t xml:space="preserve">  17 02 - Wood, glass and plastic</t>
  </si>
  <si>
    <t>NACE L - 64.91 Financial leasing</t>
  </si>
  <si>
    <t xml:space="preserve">    17 02 01 - Non-Hazardous - Wood</t>
  </si>
  <si>
    <t>NACE L - 64.92 Other credit granting</t>
  </si>
  <si>
    <t xml:space="preserve">    17 02 02 - Non-Hazardous - Glass</t>
  </si>
  <si>
    <t>NACE L - 64.99 Other financial service activities, except insurance and pension funding n.e.c.</t>
  </si>
  <si>
    <t xml:space="preserve">    17 02 03 - Non-Hazardous - Plastic</t>
  </si>
  <si>
    <t xml:space="preserve">    17 02 04 - Hazardous - Glass, plastic and wood containing or contaminated with hazardous substances</t>
  </si>
  <si>
    <t xml:space="preserve">  17 03 - Bituminous mixtures, coal tar and tarred products</t>
  </si>
  <si>
    <t>NACE L - 65.11 Life insurance</t>
  </si>
  <si>
    <t xml:space="preserve">    17 03 01 - Hazardous - Bituminous mixtures containing coal tar</t>
  </si>
  <si>
    <t>NACE L - 65.12 Non-life insurance</t>
  </si>
  <si>
    <t xml:space="preserve">    17 03 02 - Non-Hazardous - Bituminous mixtures other than those mentioned in 17 03 01</t>
  </si>
  <si>
    <t xml:space="preserve">    17 03 03 - Hazardous - Coal tar and tarred products</t>
  </si>
  <si>
    <t>NACE L - 65.20 Reinsurance</t>
  </si>
  <si>
    <t xml:space="preserve">  17 04 - Metals (including their alloys)</t>
  </si>
  <si>
    <t xml:space="preserve">    17 04 01 - Non-Hazardous - Copper, bronze, brass</t>
  </si>
  <si>
    <t>NACE L - 65.30 Pension funding</t>
  </si>
  <si>
    <t xml:space="preserve">    17 04 02 - Non-Hazardous - Aluminium</t>
  </si>
  <si>
    <t xml:space="preserve">    17 04 03 - Non-Hazardous - Lead</t>
  </si>
  <si>
    <t xml:space="preserve">    17 04 04 - Non-Hazardous - Zinc</t>
  </si>
  <si>
    <t>NACE L - 66.11 Administration of financial markets</t>
  </si>
  <si>
    <t xml:space="preserve">    17 04 05 - Non-Hazardous - Iron and steel</t>
  </si>
  <si>
    <t>NACE L - 66.12 Security and commodity contracts brokerage</t>
  </si>
  <si>
    <t xml:space="preserve">    17 04 06 - Non-Hazardous - Tin</t>
  </si>
  <si>
    <t>NACE L - 66.19 Other activities auxiliary to financial services, except insurance and pension funding</t>
  </si>
  <si>
    <t xml:space="preserve">    17 04 07 - Non-Hazardous - Mixed metals</t>
  </si>
  <si>
    <t xml:space="preserve">    17 04 09 - Hazardous - Metal waste contaminated with hazardous substances</t>
  </si>
  <si>
    <t>NACE L - 66.21 Risk and damage evaluation</t>
  </si>
  <si>
    <t xml:space="preserve">    17 04 10 - Hazardous - Cables containing oil, coal tar and other hazardous substances</t>
  </si>
  <si>
    <t>NACE L - 66.22 Activities of insurance agents and brokers</t>
  </si>
  <si>
    <t xml:space="preserve">    17 04 11 - Non-Hazardous - Cables other than those mentioned in 17 04 10</t>
  </si>
  <si>
    <t>NACE L - 66.29 Activities auxiliary to insurance and pension funding n.e.c.</t>
  </si>
  <si>
    <t xml:space="preserve">  17 05 - Soil (including excavated soil from contaminated sites), stones and dredging spoil</t>
  </si>
  <si>
    <t xml:space="preserve">    17 05 03 - Hazardous - Soil and stones containing hazardous substances</t>
  </si>
  <si>
    <t>NACE L - 66.30 Fund management activities</t>
  </si>
  <si>
    <t xml:space="preserve">    17 05 04 - Non-Hazardous - Soil and stones other than those mentioned in 17 05 03</t>
  </si>
  <si>
    <t xml:space="preserve">    17 05 05 - Hazardous - Dredging spoil containing hazardous substances</t>
  </si>
  <si>
    <t xml:space="preserve">    17 05 06 - Non-Hazardous - Dredging spoil other than those mentioned in 17 05 05</t>
  </si>
  <si>
    <t xml:space="preserve">    17 05 07 - Hazardous - Track ballast containing hazardous substances</t>
  </si>
  <si>
    <t>NACE M - 68.11 Buying and selling of own real estate</t>
  </si>
  <si>
    <t xml:space="preserve">    17 05 08 - Non-Hazardous - Track ballast other than those mentioned in 17 05 07</t>
  </si>
  <si>
    <t>NACE M - 68.12 Development of building projects</t>
  </si>
  <si>
    <t xml:space="preserve">  17 06 - Insulation materials and asbestos-containing construction materials</t>
  </si>
  <si>
    <t xml:space="preserve">    17 06 01 - Hazardous - Insulation materials containing asbestos</t>
  </si>
  <si>
    <t>NACE M - 68.20 Rental and operating of own or leased real estate</t>
  </si>
  <si>
    <t xml:space="preserve">    17 06 03 - Hazardous - Other insulation materials consisting of or containing hazardous substances</t>
  </si>
  <si>
    <t xml:space="preserve">    17 06 04 - Non-Hazardous - Insulation materials other than those mentioned in 17 06 01 and 17 06 03</t>
  </si>
  <si>
    <t>NACE M - 68.31 Intermediation service activities for real estate activities</t>
  </si>
  <si>
    <t xml:space="preserve">    17 06 05 - Hazardous - Construction materials containing asbestos</t>
  </si>
  <si>
    <t>NACE M - 68.32 Other real estate activities on a fee or contract basis</t>
  </si>
  <si>
    <t xml:space="preserve">  17 08 - Gypsum-based construction material</t>
  </si>
  <si>
    <t xml:space="preserve">    17 08 01 - Hazardous - Gypsum-based construction materials contaminated with hazardous substances</t>
  </si>
  <si>
    <t xml:space="preserve">    17 08 02 - Non-Hazardous - Gypsum-based construction materials other than those mentioned in 17 08 01</t>
  </si>
  <si>
    <t xml:space="preserve">  17 09 - Other construction and demolition wastes</t>
  </si>
  <si>
    <t>NACE N - 69.10 Legal activities</t>
  </si>
  <si>
    <t xml:space="preserve">    17 09 01 - Hazardous - Construction and demolition wastes containing mercury</t>
  </si>
  <si>
    <t xml:space="preserve">    17 09 02 - Hazardous - Construction and demolition wastes containing PCB (for example PCB-containing sealants, PCB-containing resin-based floorings, PCB-containing sealed glazing units, PCB-containing capacitors)</t>
  </si>
  <si>
    <t>NACE N - 69.20 Accounting, bookkeeping and auditing activities; tax consultancy</t>
  </si>
  <si>
    <t xml:space="preserve">    17 09 03 - Hazardous - Other construction and demolition wastes (including mixed wastes) containing hazardous substances</t>
  </si>
  <si>
    <t xml:space="preserve">    17 09 04 - Non-Hazardous - Mixed construction and demolition wastes other than those mentioned in 17 09 01, 17 09 02 and 17 09 03</t>
  </si>
  <si>
    <t>18 - WASTES FROM HUMAN OR ANIMAL HEALTH CARE AND/OR RELATED RESEARCH (except kitchen and restaurant wastes not arising from immediate health care)</t>
  </si>
  <si>
    <t>NACE N - 70.10 Activities of head offices</t>
  </si>
  <si>
    <t xml:space="preserve">  18 01 - Wastes from natal care, diagnosis, treatment or prevention of disease in humans</t>
  </si>
  <si>
    <t xml:space="preserve">    18 01 01 - Non-Hazardous - Sharps (except 18 01 03)</t>
  </si>
  <si>
    <t>NACE N - 70.20 Business and other management consultancy activities</t>
  </si>
  <si>
    <t xml:space="preserve">    18 01 02 - Non-Hazardous - Body parts and organs including blood bags and blood preserves (except 18 01 03)</t>
  </si>
  <si>
    <t xml:space="preserve">    18 01 03 - Hazardous - Wastes whose collection and disposal is subject to special requirements in order to prevent infection</t>
  </si>
  <si>
    <t xml:space="preserve">    18 01 04 - Non-Hazardous - Wastes whose collection and disposal is not subject to special requirements in order to prevent infection (for example dressings, plaster casts, linen, disposable clothing, diapers)</t>
  </si>
  <si>
    <t>NACE N - 71.11 Architectural activities</t>
  </si>
  <si>
    <t xml:space="preserve">    18 01 06 - Hazardous - Chemicals consisting of or containing hazardous substances</t>
  </si>
  <si>
    <t>NACE N - 71.12 Engineering activities and related technical consultancy</t>
  </si>
  <si>
    <t xml:space="preserve">    18 01 07 - Non-Hazardous - Chemicals other than those mentioned in 18 01 06</t>
  </si>
  <si>
    <t xml:space="preserve">    18 01 08 - Hazardous - Cytotoxic and cytostatic medicines</t>
  </si>
  <si>
    <t>NACE N - 71.20 Technical testing and analysis</t>
  </si>
  <si>
    <t xml:space="preserve">    18 01 09 - Non-Hazardous - Medicines other than those mentioned in 18 01 08</t>
  </si>
  <si>
    <t xml:space="preserve">    18 01 10 - Hazardous - Amalgam waste from dental care</t>
  </si>
  <si>
    <t xml:space="preserve">  18 02 - Wastes from research, diagnosis, treatment or prevention of disease involving animals</t>
  </si>
  <si>
    <t>NACE N - 72.10 Research and experimental development on natural sciences and engineering</t>
  </si>
  <si>
    <t xml:space="preserve">    18 02 01 - Non-Hazardous - Sharps (except 18 02 02)</t>
  </si>
  <si>
    <t xml:space="preserve">    18 02 02 - Hazardous - Wastes whose collection and disposal is subject to special requirements in order to prevent infection</t>
  </si>
  <si>
    <t>NACE N - 72.20 Research and experimental development on social sciences and humanities</t>
  </si>
  <si>
    <t xml:space="preserve">    18 02 03 - Non-Hazardous - Wastes whose collection and disposal is not subject to special requirements in order to prevent infection</t>
  </si>
  <si>
    <t xml:space="preserve">    18 02 05 - Hazardous - Chemicals consisting of or containing hazardous substances</t>
  </si>
  <si>
    <t xml:space="preserve">    18 02 06 - Non-Hazardous - Chemicals other than those mentioned in 18 02 05</t>
  </si>
  <si>
    <t>NACE N - 73.11 Activities of advertising agencies</t>
  </si>
  <si>
    <t xml:space="preserve">    18 02 07 - Hazardous - Cytotoxic and cytostatic medicines</t>
  </si>
  <si>
    <t>NACE N - 73.12 Media representation</t>
  </si>
  <si>
    <t xml:space="preserve">    18 02 08 - Non-Hazardous - Medicines other than those mentioned in 18 02 07</t>
  </si>
  <si>
    <t>19 - WASTES FROM WASTE MANAGEMENT FACILITIES, OFF-SITE WASTE WATER TREATMENT PLANTS AND THE PREPARATION OF WATER INTENDED FOR HUMAN CONSUMPTION AND WATER FOR INDUSTRIAL USE</t>
  </si>
  <si>
    <t>NACE N - 73.20 Market research and public opinion polling</t>
  </si>
  <si>
    <t xml:space="preserve">  19 01 - Wastes from incineration or pyrolysis of waste</t>
  </si>
  <si>
    <t xml:space="preserve">    19 01 02 - Non-Hazardous - Ferrous materials removed from bottom ash</t>
  </si>
  <si>
    <t>NACE N - 73.30 Public relations and communication activities</t>
  </si>
  <si>
    <t xml:space="preserve">    19 01 05 - Hazardous - Filter cake from gas treatment</t>
  </si>
  <si>
    <t xml:space="preserve">    19 01 06 - Hazardous - Aqueous liquid wastes from gas treatment and other aqueous liquid wastes</t>
  </si>
  <si>
    <t xml:space="preserve">    19 01 07 - Hazardous - Solid wastes from gas treatment</t>
  </si>
  <si>
    <t>NACE N - 74.11 Industrial product and fashion design activities</t>
  </si>
  <si>
    <t xml:space="preserve">    19 01 10 - Hazardous - Spent activated carbon from flue-gas treatment</t>
  </si>
  <si>
    <t>NACE N - 74.12 Graphic design and visual communication activities</t>
  </si>
  <si>
    <t xml:space="preserve">    19 01 11 - Hazardous - Bottom ash and slag containing hazardous substances</t>
  </si>
  <si>
    <t>NACE N - 74.13 Interior design activities</t>
  </si>
  <si>
    <t xml:space="preserve">    19 01 12 - Non-Hazardous - Bottom ash and slag other than those mentioned in 19 01 11</t>
  </si>
  <si>
    <t>NACE N - 74.14 Other specialised design activities</t>
  </si>
  <si>
    <t xml:space="preserve">    19 01 13 - Hazardous - Fly ash containing hazardous substances</t>
  </si>
  <si>
    <t xml:space="preserve">    19 01 14 - Non-Hazardous - Fly ash other than those mentioned in 19 01 13</t>
  </si>
  <si>
    <t>NACE N - 74.20 Photographic activities</t>
  </si>
  <si>
    <t xml:space="preserve">    19 01 15 - Hazardous - Boiler dust containing hazardous substances</t>
  </si>
  <si>
    <t xml:space="preserve">    19 01 16 - Non-Hazardous - Boiler dust other than those mentioned in 19 01 15</t>
  </si>
  <si>
    <t>NACE N - 74.30 Translation and interpretation activities</t>
  </si>
  <si>
    <t xml:space="preserve">    19 01 17 - Hazardous - Pyrolysis wastes containing hazardous substances</t>
  </si>
  <si>
    <t xml:space="preserve">    19 01 18 - Non-Hazardous - Pyrolysis wastes other than those mentioned in 19 01 17</t>
  </si>
  <si>
    <t>NACE N - 74.91 Patent brokering and marketing service activities</t>
  </si>
  <si>
    <t xml:space="preserve">    19 01 19 - Non-Hazardous - Sands from fluidised beds</t>
  </si>
  <si>
    <t>NACE N - 74.99 All other professional, scientific and technical activities n.e.c.</t>
  </si>
  <si>
    <t xml:space="preserve">    19 01 99 - Non-Hazardous - Wastes not otherwise specified</t>
  </si>
  <si>
    <t xml:space="preserve">  19 02 - Wastes from physico/chemical treatments of waste (including dechromatation, decyanidation, neutralisation)</t>
  </si>
  <si>
    <t xml:space="preserve">    19 02 03 - Non-Hazardous - Premixed wastes composed only of non-hazardous wastes</t>
  </si>
  <si>
    <t>NACE N - 75.00 Veterinary activities</t>
  </si>
  <si>
    <t xml:space="preserve">    19 02 04 - Hazardous - Premixed wastes composed of at least one hazardous waste</t>
  </si>
  <si>
    <t xml:space="preserve">    19 02 05 - Hazardous - Sludges from physico/chemical treatment containing hazardous substances</t>
  </si>
  <si>
    <t xml:space="preserve">    19 02 06 - Non-Hazardous - Sludges from physico/chemical treatment other than those mentioned in 19 02 05</t>
  </si>
  <si>
    <t xml:space="preserve">    19 02 07 - Hazardous - Oil and concentrates from separation</t>
  </si>
  <si>
    <t>NACE O - 77.11 Rental and leasing of cars and light motor vehicles</t>
  </si>
  <si>
    <t xml:space="preserve">    19 02 08 - Hazardous - Liquid combustible wastes containing hazardous substances</t>
  </si>
  <si>
    <t>NACE O - 77.12 Rental and leasing of trucks</t>
  </si>
  <si>
    <t xml:space="preserve">    19 02 09 - Hazardous - Solid combustible wastes containing hazardous substances</t>
  </si>
  <si>
    <t xml:space="preserve">    19 02 10 - Non-Hazardous - Combustible wastes other than those mentioned in 19 02 08 and 19 02 09</t>
  </si>
  <si>
    <t>NACE O - 77.21 Rental and leasing of recreational and sports goods</t>
  </si>
  <si>
    <t xml:space="preserve">    19 02 11 - Hazardous - Other wastes containing hazardous substances</t>
  </si>
  <si>
    <t>NACE O - 77.22 Rental and leasing of other personal and household goods</t>
  </si>
  <si>
    <t xml:space="preserve">    19 02 99 - Non-Hazardous - Wastes not otherwise specified</t>
  </si>
  <si>
    <t xml:space="preserve">  19 03 - Stabilised/solidified wastes</t>
  </si>
  <si>
    <t>NACE O - 77.31 Rental and leasing of agricultural machinery and equipment</t>
  </si>
  <si>
    <t xml:space="preserve">    19 03 04 - Hazardous - Wastes marked as hazardous, partly stabilised other than 19 03 08</t>
  </si>
  <si>
    <t>NACE O - 77.32 Rental and leasing of construction and civil engineering machinery and equipment</t>
  </si>
  <si>
    <t xml:space="preserve">    19 03 05 - Non-Hazardous - Stabilised wastes other than those mentioned in 19 03 04</t>
  </si>
  <si>
    <t>NACE O - 77.33 Rental and leasing of office machinery, equipment and computers</t>
  </si>
  <si>
    <t xml:space="preserve">    19 03 06 - Hazardous - Wastes marked as hazardous, solidified</t>
  </si>
  <si>
    <t>NACE O - 77.34 Rental and leasing of water transport equipment</t>
  </si>
  <si>
    <t xml:space="preserve">    19 03 07 - Non-Hazardous - Solidified wastes other than those mentioned in 19 03 06</t>
  </si>
  <si>
    <t>NACE O - 77.35 Rental and leasing of air transport equipment</t>
  </si>
  <si>
    <t xml:space="preserve">    19 03 08 - Hazardous - Partly stabilised mercury</t>
  </si>
  <si>
    <t>NACE O - 77.39 Rental and leasing of other machinery, equipment and tangible goods n.e.c.</t>
  </si>
  <si>
    <t xml:space="preserve">  19 04 - Vitrified waste and wastes from vitrification</t>
  </si>
  <si>
    <t xml:space="preserve">    19 04 01 - Non-Hazardous - Vitrified waste</t>
  </si>
  <si>
    <t>NACE O - 77.40 Leasing of intellectual property and similar products, except copyrighted works</t>
  </si>
  <si>
    <t xml:space="preserve">    19 04 02 - Hazardous - Fly ash and other flue-gas treatment wastes</t>
  </si>
  <si>
    <t xml:space="preserve">    19 04 03 - Hazardous - Non-vitrified solid phase</t>
  </si>
  <si>
    <t>NACE O - 77.51 Intermediation service activities for rental and leasing of cars, motorhomes and trailers</t>
  </si>
  <si>
    <t xml:space="preserve">    19 04 04 - Non-Hazardous - Aqueous liquid wastes from vitrified waste tempering</t>
  </si>
  <si>
    <t>NACE O - 77.52 Intermediation service activities for rental and leasing of other tangible goods and non-financial intangible assets</t>
  </si>
  <si>
    <t xml:space="preserve">  19 05 - Wastes from aerobic treatment of solid wastes</t>
  </si>
  <si>
    <t xml:space="preserve">    19 05 01 - Non-Hazardous - Non-composted fraction of municipal and similar wastes</t>
  </si>
  <si>
    <t xml:space="preserve">    19 05 02 - Non-Hazardous - Non-composted fraction of animal and vegetable waste</t>
  </si>
  <si>
    <t>NACE O - 78.10 Activities of employment placement agencies</t>
  </si>
  <si>
    <t xml:space="preserve">    19 05 03 - Non-Hazardous - Off-specification compost</t>
  </si>
  <si>
    <t xml:space="preserve">    19 05 99 - Non-Hazardous - Wastes not otherwise specified</t>
  </si>
  <si>
    <t>NACE O - 78.20 Temporary employment agency activities and other human resource provisions</t>
  </si>
  <si>
    <t xml:space="preserve">  19 06 - Wastes from anaerobic treatment of waste</t>
  </si>
  <si>
    <t xml:space="preserve">    19 06 03 - Non-Hazardous - Liquor from anaerobic treatment of municipal waste</t>
  </si>
  <si>
    <t xml:space="preserve">    19 06 04 - Non-Hazardous - Digestate from anaerobic treatment of municipal waste</t>
  </si>
  <si>
    <t>NACE O - 79.11 Travel agency activities</t>
  </si>
  <si>
    <t xml:space="preserve">    19 06 05 - Non-Hazardous - Liquor from anaerobic treatment of animal and vegetable waste</t>
  </si>
  <si>
    <t>NACE O - 79.12 Tour operator activities</t>
  </si>
  <si>
    <t xml:space="preserve">    19 06 06 - Non-Hazardous - Digestate from anaerobic treatment of animal and vegetable waste</t>
  </si>
  <si>
    <t xml:space="preserve">    19 06 99 - Non-Hazardous - Wastes not otherwise specified</t>
  </si>
  <si>
    <t>NACE O - 79.90 Other reservation service and related activities</t>
  </si>
  <si>
    <t xml:space="preserve">  19 07 - Landfill leachate</t>
  </si>
  <si>
    <t xml:space="preserve">    19 07 02 - Hazardous - Landfill leachate containing hazardous substances</t>
  </si>
  <si>
    <t xml:space="preserve">    19 07 03 - Non-Hazardous - Landfill leachate other than those mentioned in 19 07 02</t>
  </si>
  <si>
    <t>NACE O - 80.01 Investigation and private security activities</t>
  </si>
  <si>
    <t xml:space="preserve">  19 08 - Wastes from waste water treatment plants not otherwise specified</t>
  </si>
  <si>
    <t>NACE O - 80.09 Security activities n.e.c.</t>
  </si>
  <si>
    <t xml:space="preserve">    19 08 01 - Non-Hazardous - Screenings</t>
  </si>
  <si>
    <t xml:space="preserve">    19 08 02 - Non-Hazardous - Waste from desanding</t>
  </si>
  <si>
    <t xml:space="preserve">    19 08 05 - Non-Hazardous - Sludges from treatment of urban waste water</t>
  </si>
  <si>
    <t>NACE O - 81.10 Combined facilities support activities</t>
  </si>
  <si>
    <t xml:space="preserve">    19 08 06 - Hazardous - Saturated or spent ion exchange resins</t>
  </si>
  <si>
    <t xml:space="preserve">    19 08 07 - Hazardous - Solutions and sludges from regeneration of ion exchangers</t>
  </si>
  <si>
    <t>NACE O - 81.21 General cleaning of buildings</t>
  </si>
  <si>
    <t xml:space="preserve">    19 08 08 - Hazardous - Membrane system waste containing heavy metals</t>
  </si>
  <si>
    <t>NACE O - 81.22 Other building and industrial cleaning activities</t>
  </si>
  <si>
    <t xml:space="preserve">    19 08 09 - Non-Hazardous - Grease and oil mixture from oil/water separation containing only edible oil and fats</t>
  </si>
  <si>
    <t>NACE O - 81.23 Other cleaning activities</t>
  </si>
  <si>
    <t xml:space="preserve">    19 08 10 - Hazardous - Grease and oil mixture from oil/water separation other than those mentioned in 19 08 09</t>
  </si>
  <si>
    <t xml:space="preserve">    19 08 11 - Hazardous - Sludges containing hazardous substances from biological treatment of industrial waste water</t>
  </si>
  <si>
    <t>NACE O - 81.30 Landscape service activities</t>
  </si>
  <si>
    <t xml:space="preserve">    19 08 12 - Non-Hazardous - Sludges from biological treatment of industrial waste water other than those mentioned in 19 08 11</t>
  </si>
  <si>
    <t xml:space="preserve">    19 08 13 - Hazardous - Sludges containing hazardous substances from other treatment of industrial waste water</t>
  </si>
  <si>
    <t xml:space="preserve">    19 08 14 - Non-Hazardous - Sludges from other treatment of industrial waste water other than those mentioned in 19 08 13</t>
  </si>
  <si>
    <t>NACE O - 82.10 Office administrative and support activities</t>
  </si>
  <si>
    <t xml:space="preserve">    19 08 99 - Non-Hazardous - Wastes not otherwise specified</t>
  </si>
  <si>
    <t xml:space="preserve">  19 09 - Wastes from the preparation of water intended for human consumption or water for industrial use</t>
  </si>
  <si>
    <t>NACE O - 82.20 Activities of call centres</t>
  </si>
  <si>
    <t xml:space="preserve">    19 09 01 - Non-Hazardous - Solid waste from primary filtration and screenings</t>
  </si>
  <si>
    <t xml:space="preserve">    19 09 02 - Non-Hazardous - Sludges from water clarification</t>
  </si>
  <si>
    <t>NACE O - 82.30 Organisation of conventions and trade shows</t>
  </si>
  <si>
    <t xml:space="preserve">    19 09 03 - Non-Hazardous - Sludges from decarbonation</t>
  </si>
  <si>
    <t xml:space="preserve">    19 09 04 - Non-Hazardous - Spent activated carbon</t>
  </si>
  <si>
    <t>NACE O - 82.40 Intermediation service activities for business support service activities n.e.c.</t>
  </si>
  <si>
    <t xml:space="preserve">    19 09 05 - Non-Hazardous - Saturated or spent ion exchange resins</t>
  </si>
  <si>
    <t xml:space="preserve">    19 09 06 - Non-Hazardous - Solutions and sludges from regeneration of ion exchangers</t>
  </si>
  <si>
    <t>NACE O - 82.91 Activities of collection agencies and credit bureaus</t>
  </si>
  <si>
    <t xml:space="preserve">    19 09 99 - Non-Hazardous - Wastes not otherwise specified</t>
  </si>
  <si>
    <t>NACE O - 82.92 Packaging activities</t>
  </si>
  <si>
    <t xml:space="preserve">  19 10 - Wastes from shredding of metal-containing wastes</t>
  </si>
  <si>
    <t>NACE O - 82.99 Other business support service activities n.e.c.</t>
  </si>
  <si>
    <t xml:space="preserve">    19 10 01 - Non-Hazardous - Iron and steel waste</t>
  </si>
  <si>
    <t xml:space="preserve">    19 10 02 - Non-Hazardous - Non-ferrous waste</t>
  </si>
  <si>
    <t xml:space="preserve">    19 10 03 - Hazardous - Fluff-light fraction and dust containing hazardous substances</t>
  </si>
  <si>
    <t xml:space="preserve">    19 10 04 - Non-Hazardous - Fluff-light fraction and dust other than those mentioned in 19 10 03</t>
  </si>
  <si>
    <t>NACE P - 84.11 General public administration activities</t>
  </si>
  <si>
    <t xml:space="preserve">    19 10 05 - Hazardous - Other fractions containing hazardous substances</t>
  </si>
  <si>
    <t>NACE P - 84.12 Regulation of health care, education, cultural services and other social services</t>
  </si>
  <si>
    <t xml:space="preserve">    19 10 06 - Non-Hazardous - Other fractions other than those mentioned in 19 10 05</t>
  </si>
  <si>
    <t>NACE P - 84.13 Regulation of and contribution to more efficient operation of businesses</t>
  </si>
  <si>
    <t xml:space="preserve">  19 11 - Wastes from oil regeneration</t>
  </si>
  <si>
    <t xml:space="preserve">    19 11 01 - Hazardous - Spent filter clays</t>
  </si>
  <si>
    <t>NACE P - 84.21 Foreign affairs</t>
  </si>
  <si>
    <t xml:space="preserve">    19 11 02 - Hazardous - Acid tars</t>
  </si>
  <si>
    <t>NACE P - 84.22 Defence activities</t>
  </si>
  <si>
    <t xml:space="preserve">    19 11 03 - Hazardous - Aqueous liquid wastes</t>
  </si>
  <si>
    <t>NACE P - 84.23 Justice and judicial activities</t>
  </si>
  <si>
    <t xml:space="preserve">    19 11 04 - Hazardous - Wastes from cleaning of fuel with bases</t>
  </si>
  <si>
    <t>NACE P - 84.24 Public order and safety activities</t>
  </si>
  <si>
    <t xml:space="preserve">    19 11 05 - Hazardous - Sludges from on-site effluent treatment containing hazardous substances</t>
  </si>
  <si>
    <t>NACE P - 84.25 Fire service activities</t>
  </si>
  <si>
    <t xml:space="preserve">    19 11 06 - Non-Hazardous - Sludges from on-site effluent treatment other than those mentioned in 19 11 05</t>
  </si>
  <si>
    <t xml:space="preserve">    19 11 07 - Hazardous - Wastes from flue-gas cleaning</t>
  </si>
  <si>
    <t>NACE P - 84.30 Compulsory social security activities</t>
  </si>
  <si>
    <t xml:space="preserve">    19 11 99 - Non-Hazardous - Wastes not otherwise specified</t>
  </si>
  <si>
    <t xml:space="preserve">  19 12 - Wastes from the mechanical treatment of waste (for example sorting, crushing, compacting, pelletising) not otherwise specified</t>
  </si>
  <si>
    <t xml:space="preserve">    19 12 01 - Non-Hazardous - Paper and cardboard</t>
  </si>
  <si>
    <t xml:space="preserve">    19 12 02 - Non-Hazardous - Ferrous metal</t>
  </si>
  <si>
    <t>NACE Q - 85.10 Pre-primary education</t>
  </si>
  <si>
    <t xml:space="preserve">    19 12 03 - Non-Hazardous - Non-ferrous metal</t>
  </si>
  <si>
    <t xml:space="preserve">    19 12 04 - Non-Hazardous - Plastic and rubber</t>
  </si>
  <si>
    <t>NACE Q - 85.20 Primary education</t>
  </si>
  <si>
    <t xml:space="preserve">    19 12 05 - Non-Hazardous - Glass</t>
  </si>
  <si>
    <t xml:space="preserve">    19 12 06 - Hazardous - Wood containing hazardous substances</t>
  </si>
  <si>
    <t>NACE Q - 85.31 General secondary education</t>
  </si>
  <si>
    <t xml:space="preserve">    19 12 07 - Non-Hazardous - Wood other than that mentioned in 19 12 06</t>
  </si>
  <si>
    <t>NACE Q - 85.32 Vocational secondary education</t>
  </si>
  <si>
    <t xml:space="preserve">    19 12 08 - Non-Hazardous - Textiles</t>
  </si>
  <si>
    <t>NACE Q - 85.33 Post-secondary non-tertiary education</t>
  </si>
  <si>
    <t xml:space="preserve">    19 12 09 - Non-Hazardous - Minerals (for example sand, stones)</t>
  </si>
  <si>
    <t xml:space="preserve">    19 12 10 - Non-Hazardous - Combustible waste (refuse derived fuel)</t>
  </si>
  <si>
    <t>NACE Q - 85.40 Tertiary education</t>
  </si>
  <si>
    <t xml:space="preserve">    19 12 11 - Hazardous - Other wastes (including mixtures of materials) from mechanical treatment of waste containing hazardous substances</t>
  </si>
  <si>
    <t xml:space="preserve">    19 12 12 - Non-Hazardous - Other wastes (including mixtures of materials) from mechanical treatment of wastes other than those mentioned in 19 12 11</t>
  </si>
  <si>
    <t>NACE Q - 85.51 Sports and recreation education</t>
  </si>
  <si>
    <t xml:space="preserve">  19 13 - Wastes from soil and groundwater remediation</t>
  </si>
  <si>
    <t>NACE Q - 85.52 Cultural education</t>
  </si>
  <si>
    <t xml:space="preserve">    19 13 01 - Hazardous - Solid wastes from soil remediation containing hazardous substances</t>
  </si>
  <si>
    <t>NACE Q - 85.53 Driving school activities</t>
  </si>
  <si>
    <t xml:space="preserve">    19 13 02 - Non-Hazardous - Solid wastes from soil remediation other than those mentioned in 19 13 01</t>
  </si>
  <si>
    <t>NACE Q - 85.59 Other education n.e.c.</t>
  </si>
  <si>
    <t xml:space="preserve">    19 13 03 - Hazardous - Sludges from soil remediation containing hazardous substances</t>
  </si>
  <si>
    <t xml:space="preserve">    19 13 04 - Non-Hazardous - Sludges from soil remediation other than those mentioned in 19 13 03</t>
  </si>
  <si>
    <t>NACE Q - 85.61 Intermediation service activities for courses and tutors</t>
  </si>
  <si>
    <t xml:space="preserve">    19 13 05 - Hazardous - Sludges from groundwater remediation containing hazardous substances</t>
  </si>
  <si>
    <t>NACE Q - 85.69 Educational support activities n.e.c.</t>
  </si>
  <si>
    <t xml:space="preserve">    19 13 06 - Non-Hazardous - Sludges from groundwater remediation other than those mentioned in 19 13 05</t>
  </si>
  <si>
    <t xml:space="preserve">    19 13 07 - Hazardous - Aqueous liquid wastes and aqueous concentrates from groundwater remediation containing hazardous substances</t>
  </si>
  <si>
    <t xml:space="preserve">    19 13 08 - Non-Hazardous - Aqueous liquid wastes and aqueous concentrates from groundwater remediation other than those mentioned in 19 13 07</t>
  </si>
  <si>
    <t>20 - MUNICIPAL WASTES (HOUSEHOLD WASTE AND SIMILAR COMMERCIAL, INDUSTRIAL AND INSTITUTIONAL WASTES) INCLUDING SEPARATELY COLLECTED FRACTIONS</t>
  </si>
  <si>
    <t>NACE R - 86.10 Hospital activities</t>
  </si>
  <si>
    <t xml:space="preserve">  20 01 - Separately collected fractions (except 15 01)</t>
  </si>
  <si>
    <t xml:space="preserve">    20 01 01 - Non-Hazardous - Paper and cardboard</t>
  </si>
  <si>
    <t>NACE R - 86.21 General medical practice activities</t>
  </si>
  <si>
    <t xml:space="preserve">    20 01 02 - Non-Hazardous - Glass</t>
  </si>
  <si>
    <t>NACE R - 86.22 Medical specialists activities</t>
  </si>
  <si>
    <t xml:space="preserve">    20 01 08 - Non-Hazardous - Biodegradable kitchen and canteen waste</t>
  </si>
  <si>
    <t>NACE R - 86.23 Dental practice care activities</t>
  </si>
  <si>
    <t xml:space="preserve">    20 01 10 - Non-Hazardous - Clothes</t>
  </si>
  <si>
    <t xml:space="preserve">    20 01 11 - Non-Hazardous - Textiles</t>
  </si>
  <si>
    <t>NACE R - 86.91 Diagnostic imaging services and medical laboratory activities</t>
  </si>
  <si>
    <t xml:space="preserve">    20 01 13 - Hazardous - Solvents</t>
  </si>
  <si>
    <t>NACE R - 86.92 Patient transportation by ambulance</t>
  </si>
  <si>
    <t xml:space="preserve">    20 01 14 - Hazardous - Acids</t>
  </si>
  <si>
    <t>NACE R - 86.93 Activities of psychologists and psychotherapists, except medical doctors</t>
  </si>
  <si>
    <t xml:space="preserve">    20 01 15 - Hazardous - Alkalines</t>
  </si>
  <si>
    <t>NACE R - 86.94 Nursing and midwifery activities</t>
  </si>
  <si>
    <t xml:space="preserve">    20 01 17 - Hazardous - Photochemicals</t>
  </si>
  <si>
    <t>NACE R - 86.95 Physiotherapy activities</t>
  </si>
  <si>
    <t xml:space="preserve">    20 01 19 - Hazardous - Pesticides</t>
  </si>
  <si>
    <t>NACE R - 86.96 Traditional, complementary and alternative medicine activities</t>
  </si>
  <si>
    <t xml:space="preserve">    20 01 21 - Hazardous - Fluorescent tubes and other mercury-containing waste</t>
  </si>
  <si>
    <t>NACE R - 86.97 Intermediation service activities for medical, dental and other human health services</t>
  </si>
  <si>
    <t xml:space="preserve">    20 01 23 - Hazardous - Discarded equipment containing chlorofluorocarbons</t>
  </si>
  <si>
    <t>NACE R - 86.99 Other human health activities n.e.c.</t>
  </si>
  <si>
    <t xml:space="preserve">    20 01 25 - Non-Hazardous - Edible oil and fat</t>
  </si>
  <si>
    <t xml:space="preserve">    20 01 26 - Hazardous - Oil and fat other than those mentioned in 20 01 25</t>
  </si>
  <si>
    <t xml:space="preserve">    20 01 27 - Hazardous - Paint, inks, adhesives and resins containing hazardous substances</t>
  </si>
  <si>
    <t>NACE R - 87.10 Residential nursing care activities</t>
  </si>
  <si>
    <t xml:space="preserve">    20 01 28 - Non-Hazardous - Paint, inks, adhesives and resins other than those mentioned in 20 01 27</t>
  </si>
  <si>
    <t xml:space="preserve">    20 01 29 - Hazardous - Detergents containing hazardous substances</t>
  </si>
  <si>
    <t>NACE R - 87.20 Residential care activities for persons living with or having a diagnosis of a mental illness or substance abuse</t>
  </si>
  <si>
    <t xml:space="preserve">    20 01 30 - Non-Hazardous - Detergents other than those mentioned in 20 01 29</t>
  </si>
  <si>
    <t xml:space="preserve">    20 01 31 - Hazardous - Cytotoxic and cytostatic medicines</t>
  </si>
  <si>
    <t>NACE R - 87.30 Residential care activities for older persons or persons with physical disabilities</t>
  </si>
  <si>
    <t xml:space="preserve">    20 01 32 - Non-Hazardous - Medicines other than those mentioned in 20 01 31</t>
  </si>
  <si>
    <t xml:space="preserve">    20 01 33 - Hazardous - Batteries and accumulators included in 16 06 01, 16 06 02 or 16 06 03 and unsorted batteries and accumulators containing these batteries</t>
  </si>
  <si>
    <t>NACE R - 87.91 Intermediation service activities for residential care activities</t>
  </si>
  <si>
    <t xml:space="preserve">    20 01 34 - Non-Hazardous - Batteries and accumulators other than those mentioned in 20 01 33</t>
  </si>
  <si>
    <t>NACE R - 87.99 Other residential care activities n.e.c.</t>
  </si>
  <si>
    <t xml:space="preserve">    20 01 35 - Hazardous - Discarded electrical and electronic equipment other than those mentioned in 20 01 21 and 20 01 23 containing hazardous components (3)</t>
  </si>
  <si>
    <t xml:space="preserve">    20 01 36 - Non-Hazardous - Discarded electrical and electronic equipment other than those mentioned in 20 01 21, 20 01 23 and 20 01 35</t>
  </si>
  <si>
    <t xml:space="preserve">    20 01 37 - Hazardous - Wood containing hazardous substances</t>
  </si>
  <si>
    <t>NACE R - 88.10 Social work activities without accommodation for older persons or persons with disabilities</t>
  </si>
  <si>
    <t xml:space="preserve">    20 01 38 - Non-Hazardous - Wood other than that mentioned in 20 01 37</t>
  </si>
  <si>
    <t xml:space="preserve">    20 01 39 - Non-Hazardous - Plastics</t>
  </si>
  <si>
    <t>NACE R - 88.91 Child day-care activities</t>
  </si>
  <si>
    <t xml:space="preserve">    20 01 40 - Non-Hazardous - Metals</t>
  </si>
  <si>
    <t>NACE R - 88.99 Other social work activities without accommodation n.e.c.</t>
  </si>
  <si>
    <t xml:space="preserve">    20 01 41 - Non-Hazardous - Wastes from chimney sweeping</t>
  </si>
  <si>
    <t xml:space="preserve">    20 01 99 - Non-Hazardous - Other fractions not otherwise specified</t>
  </si>
  <si>
    <t xml:space="preserve">  20 02 - Garden and park wastes (including cemetery waste)</t>
  </si>
  <si>
    <t xml:space="preserve">    20 02 01 - Non-Hazardous - Biodegradable waste</t>
  </si>
  <si>
    <t>NACE S - 90.11 Literary creation and musical composition activities</t>
  </si>
  <si>
    <t xml:space="preserve">    20 02 02 - Non-Hazardous - Soil and stones</t>
  </si>
  <si>
    <t>NACE S - 90.12 Visual arts creation activities</t>
  </si>
  <si>
    <t xml:space="preserve">    20 02 03 - Non-Hazardous - Other non-biodegradable wastes</t>
  </si>
  <si>
    <t>NACE S - 90.13 Other arts creation activities</t>
  </si>
  <si>
    <t xml:space="preserve">  20 03 - Other municipal wastes</t>
  </si>
  <si>
    <t xml:space="preserve">    20 03 01 - Non-Hazardous - Mixed municipal waste</t>
  </si>
  <si>
    <t>NACE S - 90.20 Activities of performing arts</t>
  </si>
  <si>
    <t xml:space="preserve">    20 03 02 - Non-Hazardous - Waste from markets</t>
  </si>
  <si>
    <t xml:space="preserve">    20 03 03 - Non-Hazardous - Street-cleaning residues</t>
  </si>
  <si>
    <t>NACE S - 90.31 Operation of arts facilities and sites</t>
  </si>
  <si>
    <t xml:space="preserve">    20 03 04 - Non-Hazardous - Septic tank sludge</t>
  </si>
  <si>
    <t>NACE S - 90.39 Other support activities to arts and performing arts</t>
  </si>
  <si>
    <t xml:space="preserve">    20 03 06 - Non-Hazardous - Waste from sewage cleaning</t>
  </si>
  <si>
    <t xml:space="preserve">    20 03 07 - Non-Hazardous - Bulky waste</t>
  </si>
  <si>
    <t xml:space="preserve">    20 03 99 - Non-Hazardous - Municipal wastes not otherwise specified</t>
  </si>
  <si>
    <t>NACE S - 91.11 Library activities</t>
  </si>
  <si>
    <t>NACE S - 91.12 Archive activities</t>
  </si>
  <si>
    <t>NACE S - 91.21 Museum and collection activities</t>
  </si>
  <si>
    <t>NACE S - 91.22 Historical site and monument activities</t>
  </si>
  <si>
    <t>NACE S - 91.30 Conservation, restoration and other support activities for cultural heritage</t>
  </si>
  <si>
    <t>NACE S - 91.41 Botanical and zoological garden activities</t>
  </si>
  <si>
    <t>NACE S - 91.42 Nature reserve activities</t>
  </si>
  <si>
    <t>NACE S - 92.00 Gambling and betting activities</t>
  </si>
  <si>
    <t>NACE S - 93.11 Operation of sports facilities</t>
  </si>
  <si>
    <t>NACE S - 93.12 Activities of sports clubs</t>
  </si>
  <si>
    <t>NACE S - 93.13 Activities of fitness centres</t>
  </si>
  <si>
    <t>NACE S - 93.19 Sports activities n.e.c.</t>
  </si>
  <si>
    <t>NACE S - 93.21 Activities of amusement parks and theme parks</t>
  </si>
  <si>
    <t>NACE S - 93.29 Amusement and recreation activities n.e.c.</t>
  </si>
  <si>
    <t>NACE T - 94.11 Activities of business and employers membership organisations</t>
  </si>
  <si>
    <t>NACE T - 94.12 Activities of professional membership organisations</t>
  </si>
  <si>
    <t>NACE T - 94.20 Activities of trade unions</t>
  </si>
  <si>
    <t>NACE T - 94.91 Activities of religious organisations</t>
  </si>
  <si>
    <t>NACE T - 94.92 Activities of political organisations</t>
  </si>
  <si>
    <t>NACE T - 94.99 Activities of other membership organisations n.e.c.</t>
  </si>
  <si>
    <t>NACE T - 95.10 Repair and maintenance of computers and communication equipment</t>
  </si>
  <si>
    <t>NACE T - 95.21 Repair and maintenance of consumer electronics</t>
  </si>
  <si>
    <t>NACE T - 95.22 Repair and maintenance of household appliances and home and garden equipment</t>
  </si>
  <si>
    <t>NACE T - 95.23 Repair and maintenance of footwear and leather goods</t>
  </si>
  <si>
    <t>NACE T - 95.24 Repair and maintenance of furniture and home furnishings</t>
  </si>
  <si>
    <t>NACE T - 95.25 Repair and maintenance of watches, clocks and jewellery</t>
  </si>
  <si>
    <t>NACE T - 95.29 Repair and maintenance of personal and household goods n.e.c.</t>
  </si>
  <si>
    <t>NACE T - 95.31 Repair and maintenance of motor vehicles</t>
  </si>
  <si>
    <t>NACE T - 95.32 Repair and maintenance of motorcycles</t>
  </si>
  <si>
    <t>NACE T - 95.40 Intermediation service activities for repair and maintenance of computers, personal and household goods, and motor vehicles and motorcycles</t>
  </si>
  <si>
    <t>NACE T - 96.10 Washing and cleaning of textile and fur products</t>
  </si>
  <si>
    <t>NACE T - 96.21 Hairdressing and barber activities</t>
  </si>
  <si>
    <t>NACE T - 96.22 Beauty care and other beauty treatment activities</t>
  </si>
  <si>
    <t>NACE T - 96.23 Day spa, sauna and steam bath activities</t>
  </si>
  <si>
    <t>NACE T - 96.30 Funeral and related activities</t>
  </si>
  <si>
    <t>NACE T - 96.40 Intermediation service activities for personal services</t>
  </si>
  <si>
    <t>NACE T - 96.91 Provision of domestic personal service activities</t>
  </si>
  <si>
    <t>NACE T - 96.99 Other personal service activities n.e.c.</t>
  </si>
  <si>
    <t>NACE U - 97.00 Activities of households as employers of domestic personnel</t>
  </si>
  <si>
    <t>NACE U - 98.10 Undifferentiated goods-producing activities of private households for own use</t>
  </si>
  <si>
    <t>NACE U - 98.20 Undifferentiated service-producing activities of private households for own use</t>
  </si>
  <si>
    <t>NACE V - 99.00 Activities of extraterritorial organisations and bodies</t>
  </si>
  <si>
    <t>Label ID</t>
  </si>
  <si>
    <t>Translation (according to the language selected in the first sheet)</t>
  </si>
  <si>
    <t>English - Official</t>
  </si>
  <si>
    <t>Danish - Reviewed translation by Danish Standard Setter</t>
  </si>
  <si>
    <t>Dutch - Reviewed translation by Ducth Standard Setter</t>
  </si>
  <si>
    <t>French - Reviewed translation by French Standard Setter</t>
  </si>
  <si>
    <t>German - Reviewed translation by German Standard Setter</t>
  </si>
  <si>
    <t>Irish - Reviewed translation by Irish Standard Setter</t>
  </si>
  <si>
    <t>Italian - Reviewed translation by Italian Standard Setter</t>
  </si>
  <si>
    <t>Lithuanian - Reviewed translation by Lithuanian Standard Setter</t>
  </si>
  <si>
    <t>Polish - Reviewed translation by Polish Standard Setter</t>
  </si>
  <si>
    <t>Portuguese - Reviewed translation by Portuguese Standard Setter</t>
  </si>
  <si>
    <t>Slovenian - Reviewed translation by Slovenian Standard Setter</t>
  </si>
  <si>
    <t>Spanish - Reviewed translation by Spanish Standard Setter</t>
  </si>
  <si>
    <t>en</t>
  </si>
  <si>
    <t>da</t>
  </si>
  <si>
    <t>nl</t>
  </si>
  <si>
    <t>fr</t>
  </si>
  <si>
    <t>de</t>
  </si>
  <si>
    <t>ga</t>
  </si>
  <si>
    <t>it</t>
  </si>
  <si>
    <t>lt</t>
  </si>
  <si>
    <t>pl</t>
  </si>
  <si>
    <t>pt</t>
  </si>
  <si>
    <t>sl</t>
  </si>
  <si>
    <t>es</t>
  </si>
  <si>
    <t>template_label_entity_name_document_information</t>
  </si>
  <si>
    <t>Entity Name</t>
  </si>
  <si>
    <t>Virksomhedens navn</t>
  </si>
  <si>
    <t>Entiteitsnaam</t>
  </si>
  <si>
    <t>Nom de l'entreprise</t>
  </si>
  <si>
    <t>Unternehmensname</t>
  </si>
  <si>
    <t>Ainm Aonáin</t>
  </si>
  <si>
    <t>Nome del soggetto che redige la relazione</t>
  </si>
  <si>
    <t>Įmonės pavadinimas</t>
  </si>
  <si>
    <t>Nazwa jednostki</t>
  </si>
  <si>
    <t>Nome da Entidade</t>
  </si>
  <si>
    <t>Firma podjetja, ki poroča</t>
  </si>
  <si>
    <t>Nombre de la entidad</t>
  </si>
  <si>
    <t>template_label_entity_identifier_document_information</t>
  </si>
  <si>
    <t>Entity Identifier</t>
  </si>
  <si>
    <t>Entitetsidentifikator</t>
  </si>
  <si>
    <t>KVK Nummer eniteit</t>
  </si>
  <si>
    <t>Identifiant de l'entreprise</t>
  </si>
  <si>
    <t>Unternehmenskennung (ID)</t>
  </si>
  <si>
    <t>Aitheantóir Aonáin</t>
  </si>
  <si>
    <t>Identificatore del soggetto</t>
  </si>
  <si>
    <t>Įmonės identifikatorius</t>
  </si>
  <si>
    <t>Identyfikator jednostki</t>
  </si>
  <si>
    <t>Identificador da Entidade</t>
  </si>
  <si>
    <t>Idetifikacijska številka podjetja</t>
  </si>
  <si>
    <t>Identificador de entidad</t>
  </si>
  <si>
    <t>template_label_entity_identifier_scheme_document_information</t>
  </si>
  <si>
    <t>Entity Identifier Scheme</t>
  </si>
  <si>
    <t xml:space="preserve">Virksomhedsindentifikationsskema </t>
  </si>
  <si>
    <t>Mij niet duidelijk waar deze wordt gebruikt</t>
  </si>
  <si>
    <t>Schéma d'identification de l'entreprise</t>
  </si>
  <si>
    <t>System zur Unternehmenskennung</t>
  </si>
  <si>
    <t>Scéim Aitheantais Aonáin</t>
  </si>
  <si>
    <t>Codice di identificazione del soggetto</t>
  </si>
  <si>
    <t>Įmonės schema</t>
  </si>
  <si>
    <t>Schemat identyfikatora jednostki</t>
  </si>
  <si>
    <t>Esquema de Identificador da Entidade</t>
  </si>
  <si>
    <t>Vrsta identifikacijske številke</t>
  </si>
  <si>
    <t>Esquema de Identificador de Entidad</t>
  </si>
  <si>
    <t>template_label_report_currency_document_information</t>
  </si>
  <si>
    <t>Report currency</t>
  </si>
  <si>
    <t>Rapporteringsvaluta</t>
  </si>
  <si>
    <t>Devise utilisée dans le rapport</t>
  </si>
  <si>
    <t>Berichtswährung</t>
  </si>
  <si>
    <t>Tuairiscigh airgeadra</t>
  </si>
  <si>
    <t>Valuta della relazione</t>
  </si>
  <si>
    <t>Ataskaitos valiuta</t>
  </si>
  <si>
    <t xml:space="preserve">Waluta sprawozdania </t>
  </si>
  <si>
    <t>Moeda de reporte</t>
  </si>
  <si>
    <t>Valuta, ki se uporablja v poročilu</t>
  </si>
  <si>
    <t>Divisa del informe</t>
  </si>
  <si>
    <t>template_label_decimal_separator_document_information</t>
  </si>
  <si>
    <t>Decimal separator</t>
  </si>
  <si>
    <t>Decimaal scheidingsteken</t>
  </si>
  <si>
    <t>Séparateur décimal</t>
  </si>
  <si>
    <t>Dezimaltrennzeichen</t>
  </si>
  <si>
    <t>Deighilteoir deachúil</t>
  </si>
  <si>
    <t>Separatore decimale</t>
  </si>
  <si>
    <t>Dešimtainis skirtukas</t>
  </si>
  <si>
    <t>Separator dziesiętny</t>
  </si>
  <si>
    <t>Separador decimal</t>
  </si>
  <si>
    <t>Decimalno ločilo</t>
  </si>
  <si>
    <t>template_label_report_period_document_information</t>
  </si>
  <si>
    <t>Report period</t>
  </si>
  <si>
    <t>Rapporteringsperiode</t>
  </si>
  <si>
    <t>Rapportageperiode</t>
  </si>
  <si>
    <t>Période de reporting</t>
  </si>
  <si>
    <t xml:space="preserve">Berichtszeitraum
</t>
  </si>
  <si>
    <t>Tréimhse tuairiscithe</t>
  </si>
  <si>
    <t>Periodo di riferimento</t>
  </si>
  <si>
    <t>Ataskaitos laikotarpis</t>
  </si>
  <si>
    <t>Okres sprawozdawczy</t>
  </si>
  <si>
    <t>Período do relatório</t>
  </si>
  <si>
    <t>Obdobje poročanja</t>
  </si>
  <si>
    <t>Periodo del informe</t>
  </si>
  <si>
    <t>template_label_report_generated</t>
  </si>
  <si>
    <t>Report generated</t>
  </si>
  <si>
    <t>Rapport genereret</t>
  </si>
  <si>
    <t>Datum waarop rapport is gegenereerd</t>
  </si>
  <si>
    <t>Rapport généré</t>
  </si>
  <si>
    <t>Bericht erstellt</t>
  </si>
  <si>
    <t>Tuairisc ginte</t>
  </si>
  <si>
    <t>Relazione generata</t>
  </si>
  <si>
    <t>Ataskaita sugeneruota</t>
  </si>
  <si>
    <t>Wygenerowane sprawozdanie</t>
  </si>
  <si>
    <t>Relatório gerado</t>
  </si>
  <si>
    <t>Poročilo ustvarjeno</t>
  </si>
  <si>
    <t>Informe generado</t>
  </si>
  <si>
    <t>template_label_disclosures_related_to_reporting_period</t>
  </si>
  <si>
    <t>All disclosures are related to the reporting period above unless specified otherwise.</t>
  </si>
  <si>
    <t>Alle oplysninger vedrører den ovenfor nævnte rapporteringsperiode, medmindre andet er angivet.</t>
  </si>
  <si>
    <t xml:space="preserve"> De rapportage heeft betrekking op de bovenstaande rapportageperiode tenzij anders vermeld.</t>
  </si>
  <si>
    <t>Toutes les informations se rapportent à la période de reporting ci-dessus, sauf indication contraire.</t>
  </si>
  <si>
    <t>Alle Angaben beziehen sich auf den oben genannten Berichtszeitraum, sofern nicht anders angegeben.</t>
  </si>
  <si>
    <t>Baineann gach nochtadh leis an tréimhse tuairiscithe thuas mura sonraítear a mhalairt.</t>
  </si>
  <si>
    <t>Tutte le informative sono relative al periodo di riferimento sopra indicato, a meno che non sia specificato diversamente.</t>
  </si>
  <si>
    <t>Visi atskleidimai susiję su aukščiau nurodytu ataskaitiniu laikotarpiu, jei nėra nurodyta kitaip.</t>
  </si>
  <si>
    <t xml:space="preserve">Wszystkie ujawnienia dotyczą powyższego okresu sprawozdawczego, chyba że wskazano inaczej. </t>
  </si>
  <si>
    <t>Todas as divulgações respeitam ao período de reporte acima, salvo indicação em contrário.</t>
  </si>
  <si>
    <t>Vsa razkritja se nanašajo na zgoraj navedeno obdobje, razen če ni navedeno drugače.</t>
  </si>
  <si>
    <t>Todas las divulgaciones se refieren al período de reporte indicado arriba, salvo que se especifique lo contrario.</t>
  </si>
  <si>
    <t>template_label_table_of_contents</t>
  </si>
  <si>
    <t>Table of Contents</t>
  </si>
  <si>
    <t xml:space="preserve">Indholdsfortegnelse
</t>
  </si>
  <si>
    <t xml:space="preserve">Inhoudsopgave
</t>
  </si>
  <si>
    <t>Table des matières</t>
  </si>
  <si>
    <t>Inhaltsverzeichnis</t>
  </si>
  <si>
    <t>Clár ábhair</t>
  </si>
  <si>
    <t>Sommario</t>
  </si>
  <si>
    <t>Turinys</t>
  </si>
  <si>
    <t>Spis treści</t>
  </si>
  <si>
    <t>Índice</t>
  </si>
  <si>
    <t>Kazalo vsebine</t>
  </si>
  <si>
    <t>Tabla de contenido</t>
  </si>
  <si>
    <t>template_label_reporting_period</t>
  </si>
  <si>
    <t>Reporting period:</t>
  </si>
  <si>
    <t>Rapporteringsperiode:</t>
  </si>
  <si>
    <t>Rapportageperiode:</t>
  </si>
  <si>
    <t>Période de reporting :</t>
  </si>
  <si>
    <t>Berichtszeitraum:</t>
  </si>
  <si>
    <t>Tréimhse tuairiscithe:</t>
  </si>
  <si>
    <t>Ataskaitos laikotarpis:</t>
  </si>
  <si>
    <t>Período de reporte:</t>
  </si>
  <si>
    <t>Obdobje poročanja:</t>
  </si>
  <si>
    <t>Periodo de reporte:</t>
  </si>
  <si>
    <t>template_label_XBRL_facts_in_report</t>
  </si>
  <si>
    <t>This report contains {{ ns.fact_count }} XBRL facts ({{ facts | count }} unique facts).</t>
  </si>
  <si>
    <t>Denne rapport indeholder {{ ns.fact_count }} XBRL-fakta ({{ facts | count }} unikke fakta).</t>
  </si>
  <si>
    <t>Dit rapport bevat</t>
  </si>
  <si>
    <t>Ce rapport contient</t>
  </si>
  <si>
    <t>Dieser Bericht enthält {{ ns.fact_count }} XBRL facts ({{ facts | count }} unique facts).</t>
  </si>
  <si>
    <t>Tá fíricí XBRL {{ ns.fíric_comhaireamh }} sa tuarascáil seo ({{ fíricí | comhaireamh }} fíricí uathúla).</t>
  </si>
  <si>
    <t>Questa relazione contiene</t>
  </si>
  <si>
    <t>Ši ataskaita apima</t>
  </si>
  <si>
    <t>Niniejszy raport zawiera {{ ns.fact_count }} elementów XBRL ({{ facts | count }} unikalnych elementów).</t>
  </si>
  <si>
    <t>Este relatório contém {{ ns.fact_count }} fatos XBRL ({{ facts | count }} fatos únicos).</t>
  </si>
  <si>
    <t>To poročilo vsebuje {{ ns.fact_count }} elementov XBRL ({{ facts | count }} edinstvenih elementov).</t>
  </si>
  <si>
    <t>Este informe contiene {{ ns.fact_count }} elementos XBRL ({{ facts | count }} elementos únicos).</t>
  </si>
  <si>
    <t>template_label_version</t>
  </si>
  <si>
    <t>Version:</t>
  </si>
  <si>
    <t>Versie:</t>
  </si>
  <si>
    <t>Version :</t>
  </si>
  <si>
    <t>Leagan:</t>
  </si>
  <si>
    <t>Versione:</t>
  </si>
  <si>
    <t>Versija:</t>
  </si>
  <si>
    <t xml:space="preserve">Wersja: </t>
  </si>
  <si>
    <t>Versão:</t>
  </si>
  <si>
    <t>Različica:</t>
  </si>
  <si>
    <t>Versión:</t>
  </si>
  <si>
    <t>template_label_publication_date</t>
  </si>
  <si>
    <t>Publication date:</t>
  </si>
  <si>
    <t>Publikationsdato:</t>
  </si>
  <si>
    <t>Publicatiedatum:</t>
  </si>
  <si>
    <t>Date de publication :</t>
  </si>
  <si>
    <t>Veröffentlichungsdatum:</t>
  </si>
  <si>
    <t>Dáta foilsithe:</t>
  </si>
  <si>
    <t>Data di pubblicazione:</t>
  </si>
  <si>
    <t>Publikavimo data:</t>
  </si>
  <si>
    <t>Data publikacji:</t>
  </si>
  <si>
    <t>Data de publicação:</t>
  </si>
  <si>
    <t>Datum objave:</t>
  </si>
  <si>
    <t>Fecha de publicación:</t>
  </si>
  <si>
    <t>template_label_taxonomy_entry_point</t>
  </si>
  <si>
    <t>Taxonomy entry point:</t>
  </si>
  <si>
    <t>Indgangspunkt til taksonomi:</t>
  </si>
  <si>
    <t>Toegepaste versie Taxonomie</t>
  </si>
  <si>
    <t>Point d'entrée de la taxonomie XBRL :</t>
  </si>
  <si>
    <t>Taxonomie-Zugangspunkt (entry point)</t>
  </si>
  <si>
    <t>Pointe iontrála tacsanomaíochta:</t>
  </si>
  <si>
    <t>Punto di accesso della tassonomia:</t>
  </si>
  <si>
    <t>Taksonomijos pradinė nuoroda</t>
  </si>
  <si>
    <t>Punkt wejścia do taksonomii:</t>
  </si>
  <si>
    <t>Ponto de entrada na taxonomia:</t>
  </si>
  <si>
    <t>Vstopna točka taksonomije:</t>
  </si>
  <si>
    <t>Punto de entrada a la taxonomía:</t>
  </si>
  <si>
    <t>template_language_selection</t>
  </si>
  <si>
    <t>Language selection</t>
  </si>
  <si>
    <t>Sprogvalg</t>
  </si>
  <si>
    <t>Taalkeuze</t>
  </si>
  <si>
    <t>Sélection de la langue</t>
  </si>
  <si>
    <t>Sprachauswahl</t>
  </si>
  <si>
    <t>Roghnú teanga</t>
  </si>
  <si>
    <t>Selezione della lingua</t>
  </si>
  <si>
    <t>Kalbos pasirinkimas</t>
  </si>
  <si>
    <t>Wybór języka</t>
  </si>
  <si>
    <t>Seleção de idioma</t>
  </si>
  <si>
    <t>Izbira jezika</t>
  </si>
  <si>
    <t>Selección de idiomas</t>
  </si>
  <si>
    <t>template_label_select_template_display_language</t>
  </si>
  <si>
    <t>VSME Digital Template enable translations into different EU languages.
Please select the language from the dropdown below.</t>
  </si>
  <si>
    <t>VSME Digital Template muliggør oversættelser til forskellige EU-sprog.
Vælg venligst sproget fra dropdown-menuen nedenfor.</t>
  </si>
  <si>
    <t>VSME Digital Template maakt vertalingen naar verschillende EU-talen mogelijk.
Selecteer de taal in de onderstaande keuzemenu.</t>
  </si>
  <si>
    <t>Le modèle numérique VSME permet des traductions dans différentes langues de l’UE.
Veuillez sélectionner la langue dans le menu déroulant ci-dessous.</t>
  </si>
  <si>
    <t>VSME Digital Template ermöglicht Übersetzungen in verschiedene EU-Sprachen.
Bitte wählen Sie die Sprache aus dem Dropdown-Menü unten.</t>
  </si>
  <si>
    <t>Cuireann Teimpléad Digiteach VSME ar chumas aistriúcháin a dhéanamh go teangacha éagsúla de chuid an AE.
Roghnaigh an teanga ón anuas thíos.</t>
  </si>
  <si>
    <t>Il VSME Digital Template consente traduzioni in diverse lingue dell'UE.
Seleziona la lingua dal menu a tendina qui sotto.</t>
  </si>
  <si>
    <t>VSME skaitmeninis šablonas leidžia versti į įvairias ES kalbas.
Pasirinkite kalbą iš žemiau esančio išskleidžiamojo meniu.</t>
  </si>
  <si>
    <t>Szablon VSME Digital umożliwia tłumaczenia na różne języki UE.
Proszę wybrać język z rozwijanego menu poniżej.</t>
  </si>
  <si>
    <t>O Template Digital VSME permite traduções para diferentes idiomas da UE.
Por favor, selecione o idioma no menu suspenso abaixo.</t>
  </si>
  <si>
    <t>VSME Digital Template omogoča prevode v različne jezike EU.
Prosimo, izberite jezik iz spustnega menija spodaj.</t>
  </si>
  <si>
    <t>La plantilla digital VSME permite traducciones a diferentes idiomas de la UE.
Por favor, selecciona el idioma en el desplegable de abajo.</t>
  </si>
  <si>
    <t>template_label_title_of_report</t>
  </si>
  <si>
    <t>Main title of the report</t>
  </si>
  <si>
    <t xml:space="preserve">Rapportens hovedtitel </t>
  </si>
  <si>
    <t>Hoofdtitel van het rapport</t>
  </si>
  <si>
    <t>Titre du rapport</t>
  </si>
  <si>
    <t>Überschrift des Berichts</t>
  </si>
  <si>
    <t>Príomhtheideal na tuarascála</t>
  </si>
  <si>
    <t>Titolo principale della relazione</t>
  </si>
  <si>
    <t>Pagrindinis ataskaitos pavadinimas</t>
  </si>
  <si>
    <t>Główny tytuł sprawozdania</t>
  </si>
  <si>
    <t>Título principal do relatório</t>
  </si>
  <si>
    <t>Glavni naslov poročila</t>
  </si>
  <si>
    <t>Título principal del informe</t>
  </si>
  <si>
    <t>template_label_main_title_of_report_text</t>
  </si>
  <si>
    <t xml:space="preserve">Sustainability Report </t>
  </si>
  <si>
    <t>Bæredygtighedsrapport</t>
  </si>
  <si>
    <t>Duurzaamheidsrapportering</t>
  </si>
  <si>
    <t>Rapport de durabilité</t>
  </si>
  <si>
    <t>Nachhaltigkeitsbericht</t>
  </si>
  <si>
    <t>Tuarascáil Inbhuanaitheachta</t>
  </si>
  <si>
    <t xml:space="preserve">Relazione sulla sostenibilità
</t>
  </si>
  <si>
    <t>Tvarumo ataskaita</t>
  </si>
  <si>
    <t>Sprawozdanie w zakresie zrównoważonego rozwoju</t>
  </si>
  <si>
    <t>Relatório de Sustentabilidade</t>
  </si>
  <si>
    <t>Poročilo o trajnostnosti</t>
  </si>
  <si>
    <t>Informe de Sostenibilidad</t>
  </si>
  <si>
    <t>template_label_subtitle_of_report</t>
  </si>
  <si>
    <t>Subtitle of the report</t>
  </si>
  <si>
    <t>Rapportens undertitel</t>
  </si>
  <si>
    <t>Ondertitel van het rapport</t>
  </si>
  <si>
    <t>Sous-titre du rapport</t>
  </si>
  <si>
    <t>Untertitel des Berichts</t>
  </si>
  <si>
    <t>Fotheideal na tuarascála</t>
  </si>
  <si>
    <t xml:space="preserve">Sottotitolo della relazione
</t>
  </si>
  <si>
    <t>Ataskaitos antraštė</t>
  </si>
  <si>
    <t>Podtytuł sprawozdania</t>
  </si>
  <si>
    <t>Subtítulo do relatório</t>
  </si>
  <si>
    <t>Podnaslov poročila</t>
  </si>
  <si>
    <t xml:space="preserve">Subtítulo del informe
</t>
  </si>
  <si>
    <t>template_label_subtitle_of_report_text</t>
  </si>
  <si>
    <t>Prepared in accordance with the Voluntary Sustainability Reporting Standard for small and medium-sized undertakings (VSME), released by the European Commission on 30 July 2025.</t>
  </si>
  <si>
    <t>Udarbejdet i overensstemmelse med den frivillige standard for bæredygtighedsrapportering for ikke-børsnoterede SMV'er (VSME), udgivet af Europa-Kommissionen den 30. juli 2025.</t>
  </si>
  <si>
    <t>Opgesteld in overeenstemming met de vrijwillige duurzaamheidsrapportagestandaard voor niet-beursgenoteerde kleine en middelgrote ondernemingen (VSME), uitgebracht door de Europese Commissie op 30 juli 2025.</t>
  </si>
  <si>
    <t>Préparé conformément à la norme volontaire d’information en matière de durabilité pour les petites et moyennes entreprises (VSME), publiée par la Commission européenne le 30 juillet 2025</t>
  </si>
  <si>
    <t>Erstellt gemäß dem Standard für die freiwillige Nachhaltigkeitsberichterstattung kleiner und mittlerer 
Unternehmen (VSME), veröffentlicht durch die Europäische Kommission am 30. Juli 2025.</t>
  </si>
  <si>
    <t>Ullmhaithe i gcomhréir leis an gCaighdeán Deonach um Thuairisciú Inbhuanaitheachta do FBManna Neamhliostaithe (VSME), a d'eisigh an Coimisiún Eorpach an 30 Iúil 2025.</t>
  </si>
  <si>
    <t>Redatto in conformità al principio volontario di rendicontazione di sostenibilità per le piccole e medie imprese (PMI) non quotate (VSME), pubblicato dalla Commissione Europea il 30 luglio 2025.</t>
  </si>
  <si>
    <t>Parengta laikantis Neįtrauktų į biržos sąrašą mažųjų ir vidutinių įmonių savanoriškojo tvarumo ataskaitų teikimo standarto (VSME), kurį 2025 m. liepos 30 d. paskelbė Europos Komisija.</t>
  </si>
  <si>
    <t>Przygotowano zgodnie z Dobrowolnym Standardem Sprawozdawczości Zrównoważonego Rozwoju dla małych i średnich przedsiębiorstw (VSME), opublikowanym przez Komisję Europejską w dniu 30 lipca 2025 r.</t>
  </si>
  <si>
    <t>Elaborado de acordo com o modelo de Relato de Sustentabilidade Voluntário para as pequenas e médias 
empresas (VSME), divulgado pela Comissão Europeia em 30 de julho de 2025.</t>
  </si>
  <si>
    <t>Pripravljeno v skladu s standardom prostovoljnega poročanja o trajnostnosti za mala in srednje velika podjetja (VSME), ki ga je Evropska komisija objavila 30. julija 2025.</t>
  </si>
  <si>
    <t>Preparado de conformidad con la Norma Voluntaria de Información sobre Sostenibilidad para pequeñas y medianas empresas (VSME), publicada por la Comisión Europea el 30 de julio de 2025.</t>
  </si>
  <si>
    <t>template_label_vsme_digital_template</t>
  </si>
  <si>
    <t>VSME Digital Template</t>
  </si>
  <si>
    <t>VSME Digital Skabelon</t>
  </si>
  <si>
    <t>VSME Digitaal Sjabloon</t>
  </si>
  <si>
    <t>Format numérique VSME</t>
  </si>
  <si>
    <t>Digitale VSME-Vorlage</t>
  </si>
  <si>
    <t>Teimpléad Digiteach VSME</t>
  </si>
  <si>
    <t>Modello Digitale VSME</t>
  </si>
  <si>
    <t>VSME Skaitmeninis šablonas</t>
  </si>
  <si>
    <t>Elektroniczny szablon VSME</t>
  </si>
  <si>
    <t>Modelo Digital VSME</t>
  </si>
  <si>
    <t>Digitalna predloga VSME</t>
  </si>
  <si>
    <t>Plantilla Digital VSME</t>
  </si>
  <si>
    <t>template_label_the_purpose_of_this_digital_template_is_to_illustrate_how_vsme_reporting_can_be_implemented_in_a_digital_template</t>
  </si>
  <si>
    <t>The purpose of this digital template is to illustrate how VSME reporting can be implemented in a digital template. The template reflects the VSME Recommendation as published by the European Commission on 30 July 2025. The template is accompanied by a digital VSME XBRL taxonomy, which represents the digital data model of the disclosures and is available on EFRAG's website. The VSME requires disclosure of comparative information on metrics (paragraph 12). This template enables reporting for one reporting period only. Therefore, it might be used for reporting in the first year only. It is expected that reporting solutions will enable the roll-forward of reporting periods, which would automatically provide the necessary comparative information.
This template can be used for data entry and validation. By using an XBRL Converter on EFRAG's website, it can be saved as an XBRL report, in a free and open data format. Excel-named ranges are used to extract the disclosures. Value cells that are empty and do not have any value (neither text nor a number) will not be considered as reported and will not be included in the XBRL report when using the Excel-to-XBRL converter.
A few drop-down selection menus in the VSME have more than 100 entries (e.g. the NACE codes under B1, the list of pollutants under B4, the list of wastes under B7). In order to search in the list, users can simply start typing search keywords in the cell.
If a security warning is shown, please "Enable Content" in order to allow automatic calculation of GPS coordinates for the list of sites under B1. No content other than the address entered will be sent to the internet and the contents shared with the provider can be found in the Nominatim Usage Policy (Geocoding Policy) and Privacy Policy.
All materials developed by the EFRAG Secretariat are released for free and as open source (MIT license), which will enable any stakeholder to further enhance them and integrate them into commercial solutions. However, respecting the license conditions, the reference to EFRAG must be mentioned by the providers of those commercial solutions. It's possible to consult the MIT License in the specific sheet.
If you wish to raise an issue with the VSME Digital Template or the Digital Template to XBRL Converter, please do so by creating an issue in the GitHub project.</t>
  </si>
  <si>
    <t xml:space="preserve">Formålet med denne digitale skabelon er at illustrere, hvordan VSME-rapportering kan implementeres i en digital skabelon. Skabelonen afspejler VSME-anbefalingen som offentliggjort af Europa-Kommissionen den 30. juli 2025. Skabelonen ledsages af en digital VSME XBRL-taksonomi, som repræsenterer den digitale datamodel for oplysningskravene og er tilgængelig på EFRAGs hjemmeside. VSME kræver oplysning om sammenlignelige oplysninger om målepunkter (afsnit 12). Denne skabelon muliggør rapportering for én rapporteringsperiode alene. Derfor kan den muligvis kun anvendes til rapportering i det første år. Det forventes, at rapporteringsløsninger vil muliggøre 'roll-forward' af rapporteringsperioder, hvilket automatisk vil give de nødvendige sammenlignelige oplysninger.
Denne skabelon kan bruges til dataindtastning og validering. Ved brug af en XBRL-konverter på EFRAGs hjemmeside kan den gemmes som en XBRL-rapport i et frit og åbent dataformat. Excel-navngivne områder bruges til at udtrække oplysningerne. Værdiceller, der er tomme og ikke indeholder nogen værdi (hverken tekst eller tal), vil ikke blive betragtet som rapporteret og vil ikke blive inkluderet i XBRL-rapporten ved brug af Excel-til-XBRL-konverteren.
Nogle få rullemenuer i VSME har mere end 100 indtastninger (f.eks. NACE-koderne under B1, listen over forurenende stoffer under B4, listen over affald under B7). For at søge i listen kan brugere blot begynde at skrive søgeord i cellen.
Hvis der vises en sikkerhedsadvarsel, skal du venligst "Aktivere indhold" for at tillade automatisk beregning af GPS-koordinater for listen over lokaliteter under B1. Intet indhold udover den indtastede adresse vil blive sendt til internettet, og det delte indhold med udbyderen kan findes i Nominatim Brugspolitik (Geokodningspolitik) og Privatlivspolitik.
Alt materiale udviklet af EFRAG-sekretariatet frigives gratis og som open source (MIT-licens), hvilket muliggør for enhver interessent at videreudvikle det og integrere det i kommercielle løsninger. Dog skal henvisning til EFRAG nævnes af udbydere af sådanne kommercielle løsninger i overensstemmelse med licensbetingelserne. Det er muligt at konsultere MIT-licensen i det specifikke ark.
Hvis du ønsker at indberette et problem med VSME Digital Template eller Digital Template to XBRL Converter, bedes du gøre dette ved at oprette en sag i GitHub-projektet. 
</t>
  </si>
  <si>
    <t>Het doel van deze digitale template is om te illustreren hoe een VSME-rapportage kan worden geïmplementeerd in een digitale template. De template weerspiegelt de VSME-aanbeveling zoals gepubliceerd door de Europese Commissie op 30 juli 2025. De template wordt vergezeld door een digitale VSME XBRL-taxonomie, die het digitale datamodel van de  rapportage vertegenwoordigt en beschikbaar is op de website van EFRAG. De VSME vereist de openbaarmaking van vergelijkende informatie over   maatstaven (paragraaf 12). Deze template maakt rapportage voor slechts één rapportageperiode mogelijk. Daarom kan het alleen in het eerste  rapportagejaar worden gebruikt. Er wordt verwacht dat rapportageoplossingen de  uitrol naar rapportageperioden mogelijk zal maken, wat automatisch de benodigde vergelijkende informatie zal opleveren n.
Deze template kan worden gebruikt voor data-invoer en validatie. Door gebruik te maken van een XBRL Converter op de website van EFRAG kan  deze worden opgeslagen als een XBRL-rapport in een gratisen open dataformaat. De in Excelbenoemde bereiken worden gebruikt om de  rapportage te extraheren. Waardecellen die leeg zijn en geen waarde bevatten (noch tekst, noch een nummer) worden als niet-gerapporteerd beschouwd en worden niet opgenomen in het XBRL-rapport bij gebruikmaking van de Excel-naar-XBRL-converter.
Een paar keuzemenu's in de VSME bevatten meer dan 100 items (bijvoorbeeld de NACE-codes onder B1, de lijst van verontreinigende stoffen onder B4, de lijst van afvalstoffen onder B7). Om te zoeken in de lijst kunnen gebruikers eenvoudig beginnen met het typen van zoekwoorden in de cel.
Als er een beveiligingswaarschuwing wordt getoond, schakel dan "Inhoud inschakelen" in om de automatische berekening van GPS-coördinaten voor de lijst van locaties onder B1 mogelijk te maken. Er wordt geen andere inhoud dan het ingevoerde adres naar het internet verzonden en de gedeelde inhoud met de  provider is te vinden in het Nominatim-gebruiksbeleid (Geocoding Policy) en privacybeleid.
Alle materialen die door het EFRAG-secretariaat zijn ontwikkeld, worden gratis en als open source (MIT-licentie) vrijgegeven, waardoor elke belanghebbende deze verder kan verbeteren en kan integreren in commerciële oplossingen. De aanbieders van die commerciële oplossingen dienen te verwijzen naar EFRAG, zoals de licentievoorwaarden voorschrijven. De MIT-licentie is te raadplegen op het specifieke werkblad.
Als u een probleem wilt melden met de VSME Digital Template of de Digital Template naar XBRL Converter, doe dit dan door een issue aan te maken in het GitHub-project.</t>
  </si>
  <si>
    <t>L'objectif de ce format numérique est d’illustrer la manière dont le reporting VSME peut être mis en œuvre dans un format numérique standardisé. Ce format reflète la recommandation VSME telle que publiée par la Commission européenne le 30 juillet 2025. Il est accompagné d’une taxonomie numérique VSME au format XBRL, qui représente le modèle de données numériques correspondant aux informations à publier et est disponible sur le site internet de l’EFRAG. 
La norme VSME exige la publication d’informations comparatives sur les indicateurs (paragraphe 12). Le présent format permet de réaliser un reporting pour une seule période. Par conséquent, il peut être utilisé uniquement pour le reporting de la première année. Il est attendu que les futures solutions de reporting permettent la reconduction des périodes de reporting, afin de fournir automatiquement les informations comparatives nécessaires. 
Ce format peut être utilisé pour la saisie et la validation des données. 
En utilisant le convertisseur XBRL disponible sur le site de l'EFRAG, il peut être enregistré sous forme de rapport XBRL, dans un format de données libre et ouvert. Les plages nommées d’Excel sont utilisées pour extraire les informations à publier. Les cellules de valeur vides, ne contenant aucune donnée (ni texte ni nombre), ne seront pas considérées comme renseignées et ne seront donc pas incluses dans le rapport XBRL lors de l’utilisation du convertisseur Excel vers XBRL. 
Certains menus déroulants comportent plus de 100 entrées (par ex. les codes NACE sous B1, la liste des polluants sous B4, la liste des déchets sous B7). Pour effectuer une recherche dans ces listes, les utilisateurs peuvent simplement taper un mot-clé dans la cellule concernée.
En cas d’avertissement de sécurité, veuillez cliquer sur « Activer le contenu » afin d’autoriser le calcul automatique des coordonnées GPS pour la liste des sites sous B1. Aucun contenu autre que l’adresse saisie ne sera transmis sur Internet, et les informations partagées avec le prestataire peuvent être consultées dans la politique d’utilisation de Nominatim (Politique de géocodage) et la politique de confidentialité. 
L’ensemble des supports développés par le Secrétariat de l’EFRAG est mis à disposition gratuitement et en open source (sous licence MIT), ce qui permettra à toute partie prenante de les améliorer et de les intégrer dans des solutions commerciales. Cependant, les fournisseurs de ces solutions commerciales doivent respecter les conditions de la licence, notamment la mention obligatoire de la référence à l’EFRAG. La licence MIT peut être consultée dans la feuille dédiée. 
Si vous souhaitez signaler un problème concernant le format numérique VSME ou le convertisseur du format numérique vers XBRL, nous vous invitons à le faire en créant un ticket dans le projet GitHub.</t>
  </si>
  <si>
    <t xml:space="preserve">Der Zweck dieser digitalen Vorlage besteht darin, zu veranschaulichen, wie die VSME-Berichterstattung in einer digitalen Vorlage implementiert werden kann. Die Vorlage spiegelt die am 30. Juli 2025 von der Europäischen Kommission veröffentlichte VSME-Empfehlung wider. Die Vorlage wird von einer digitalen VSME-XBRL-Taxonomie begleitet, die das digitale Datenmodell zu den Angaben darstellt und auf der Website von EFRAG verfügbar ist. Der VSME verlangt die Angabe von Vergleichsinformationen zu Kennzahlen (Absatz 12). Diese VSME-Vorlage ermöglicht die Berichterstattung  für nur einen Berichtszeitraum, daher kann sie möglicherweise nur im ersten Berichtsjahr verwendet werden. Es wird erwartet, dass Berichterstattungslösungen die Fortschreibung von Berichtszeiträumen ermöglichen, was automatisch die notwendigen Vergleichsinformationen bereitstellen würde.
Diese VSME-Vorlage kann für die Dateneingabe und Validierung verwendet werden. Durch die Nutzung eines XBRL-Konverters auf der Website von EFRAG kann sie als XBRL-Bericht in einem freien und offenen Datenformat gespeichert werden. Excel-benannte Bereiche werden verwendet, um die Angaben zu extrahieren. Wertzellen, die leer sind und keinen Wert enthalten (weder Text noch Zahl), werden bei der Verwendung des Excel-zu-XBRL-Konverters als nicht berichtet betrachtet und nicht in den XBRL-Bericht aufgenommen.
Einige Dropdown-Auswahlmenüs in der digitalen VSME-Vorlage enthalten mehr als 100 Einträge (z. B. die NACE-Codes unter B1, die Liste der Schadstoffe unter B4, die Liste der Abfälle unter B7). Um in der Liste zu suchen, können Nutzer einfach Suchbegriffe in die Zelle eingeben.
Wenn eine Sicherheitswarnung angezeigt wird, klicken Sie bitte auf "Inhalt aktivieren", um die automatische Berechnung der GPS-Koordinaten für die Liste der Standorte unter B1 zu ermöglichen. Es werden keine anderen Inhalte als die eingegebene Adresse ins Internet gesendet, und der mit dem Anbieter geteilte Inhalt ist in der Nutzungsrichtlinie von Nominatim (Geocoding-Richtlinie) und der Datenschutzrichtlinie einsehbar.
Alle vom EFRAG-Sekretariat entwickelten Materialien werden kostenlos und als Open Source (MIT-Lizenz) bereitgestellt, was es Interessenträgern ermöglicht, diese weiter zu verbessern und in kommerzielle Lösungen zu integrieren. Dabei muss unter Beachtung der Lizenzbedingungen auf EFRAG verwiesen werden. Die MIT-Lizenz kann im entsprechenden Excel-Arbeitsblatt eingesehen werden.
Wenn Sie ein Problem mit der digitalen VSME-Vorlage oder dem "Digital Template to XBRL Converter" melden möchten, tun Sie dies bitte, indem Sie ein "Issue" im GitHub-Projekt erstellen. </t>
  </si>
  <si>
    <t>Is é cuspóir an teimpléad digitigh seo ná a léiriú conas is féidir tuairisciú VSME a chur i bhfeidhm i dteimpléad digiteach. Léiríonn an teimpléad Moladh VSME arna fhoilsiú ag an gCoimisiún Eorpach an 30 Iúil 2025. Tá tacsanomaíocht dhigiteach VSME XBRL ag gabháil leis an teimpléad, a léiríonn samhail sonraí dhigiteacha na nochtadh agus atá ar fáil ar shuíomh gréasáin EFRAG. Éilíonn an VSME faisnéis chomparáideach maidir le méadrachtaí a nochtadh (mír 12). Cuireann an teimpléad seo ar chumas tuairisciú do thréimhse tuairiscithe amháin. Dá bhrí sin, d'fhéadfaí é a úsáid le haghaidh tuairiscithe sa chéad bhliain amháin. Táthar ag súil go gcuirfidh réitigh tuairiscithe ar chumas tréimhsí tuairiscithe a rolladh ar aghaidh, rud a chuirfeadh an fhaisnéis chomparáideach riachtanach ar fáil go huathoibríoch.
Is féidir an teimpléad seo a úsáid chun sonraí a iontráil agus a bhailíochtú. Trí úsáid a bhaint as Tiontaire XBRL ar shuíomh Gréasáin EFRAG, is féidir é a shábháil mar thuarascáil XBRL, i bhformáid sonraí saor in aisce agus oscailte. Úsáidtear raonta ainmnithe Excel chun na nochtadh a bhaint. Ní mheasfar cealla luacha atá folamh agus nach bhfuil aon luach acu (ná téacs ná uimhir) mar chealla tuairiscithe agus ní chuirfear san áireamh iad sa tuarascáil XBRL nuair a úsáidtear an tiontaire Excel-go-XBRL.
Tá níos mó ná 100 iontráil i gcúpla roghchlár roghnúcháin anuas sa VSME (m.sh. cóid NACE faoi B1, liosta na dtruailleán faoi B4, liosta na dramhaíola faoi B7). D'fhonn cuardach a dhéanamh sa liosta, is féidir le húsáideoirí tosú ag clóscríobh eochairfhocail chuardaigh sa chill.
Má thaispeántar rabhadh slándála, le do thoil "Cumasaigh Ábhar" ionas go bhféadfar comhordanáidí GPS a ríomh go huathoibríoch do liosta na suíomhanna faoi B1. Ní sheolfar aon ábhar seachas an seoladh a iontrálfar chuig an idirlíon agus is féidir an t-ábhar a roinntear leis an soláthraí a fháil i mBeartas Úsáide Nominatim (Polasaí Geochódaithe) agus i mBeartas Príobháideachais.
Scaoiltear na hábhair go léir a fhorbraíonn Rúnaíocht EFRAG saor in aisce agus mar fhoinse oscailte (ceadúnas MIT), rud a chuirfidh ar chumas aon pháirtí leasmhar iad a fheabhsú tuilleadh agus iad a chomhtháthú i réitigh tráchtála. Mar sin féin, agus coinníollacha an cheadúnais á urramú acu, ní mór do sholáthraithe na réiteach tráchtála sin an tagairt do EFRAG a lua. Is féidir dul i gcomhairle leis an gCeadúnas MIT sa bhileog shonrach.
Más mian leat saincheist a ardú leis an Teimpléad Digiteach VSME nó leis an Teimpléad Digiteach go XBRL Tiontaire, déan é sin trí cheist a chruthú sa tionscadal GitHub.</t>
  </si>
  <si>
    <t>Lo scopo di questo modello digitale è illustrare come la rendicontazione VSME può essere implementata in un modello digitale. Il modello riflette la Raccomandazione VSME pubblicata dalla Commissione Europea il 30 luglio 2025. Il modello è accompagnato da una tassonomia digitale VSME XBRL, che rappresenta il modello dati digitale delle informative ed è disponibile sul sito web di EFRAG. Il VSME richiede la divulgazione di informazioni comparative sulle metriche (paragrafo 12). Questo modello consente la rendicontazione per un solo periodo di riferimento. Pertanto, potrebbe essere utilizzato solo per la rendicontazione del primo anno. Si prevede che le soluzioni di rendicontazione consentiranno l'aggiornamento dei periodi di riferimento, che fornirà automaticamente le necessarie informazioni comparative.
Questo modello può essere utilizzato per l'immissione e la convalida dei dati. Utilizzando un convertitore XBRL sul sito web di EFRAG, può essere salvato come relazione XBRL, in un formato dati libero e a scelta. Intervalli denominati Excel vengono utilizzati per estrarre le informazioni. Le celle di valore vuote e che non contengono alcun dato (né testo né numero) non saranno considerate come compilate e non saranno incluse nella relazione XBRL quando si utilizza il convertitore Excel-to-XBRL.
Alcuni menu a tendina nel VSME hanno più di 100 voci (ad esempio i codici NACE sotto B1, l'elenco degli inquinanti sotto B4, l'elenco dei rifiuti sotto B7). Per cercare nell'elenco, gli utilizzatori possono semplicemente iniziare a digitare parole chiave di ricerca nella cella.
Se viene visualizzato un avviso di sicurezza, si prega di selezionare "Abilita contenuto" per consentire il calcolo automatico delle coordinate GPS per l'elenco dei siti sotto la voce B1. Nessun contenuto diverso dall'indirizzo inserito sarà pubblicato su Internet e i contenuti condivisi con il fornitore possono essere consultati nella Politica d'Uso di Nominatim (Politica di Geocodifica) e nella Politica sulla Privacy.
Tutti i materiali sviluppati dal Segretariato EFRAG sono rilasciati gratuitamente e come software open source (licenza MIT), il che permetterà a qualsiasi parte interessata di migliorarli ulteriormente e integrarli in soluzioni commerciali. Tuttavia, nel rispetto delle condizioni della licenza, il riferimento a EFRAG deve essere menzionato dai fornitori di tali soluzioni commerciali. È possibile consultare la Licenza MIT nel foglio specifico.
Se si desidera segnalare un problema con il Modello Digitale VSME o con il Convertitore da Modello Digitale a XBRL, si prega di farlo creando un problema nel progetto GitHub.</t>
  </si>
  <si>
    <t>Šio skaitmeninio šablono tikslas yra parodyti, kaip VSME ataskaitų teikimas gali būti įgyvendintas skaitmeninėje formoje. Šablonas atspindi VSME rekomendaciją, kurią Europos Komisija paskelbė 2025 m. liepos 30 d. Šablonas pateikiamas kartu su skaitmenine VSME XBRL taksonomija, kuri atspindi skaitmeninį atskleidimų duomenų modelį ir yra prieinama EFRAG interneto svetainėje. VSME reikalauja pateikti palyginamąją informaciją apie įvairius rodiklius (12 pastraipa). Šis šablonas leidžia teikti ataskaitas tik už vieną ataskaitinį laikotarpį, todėl jis gali būti naudojamas tik pirmaisiais metais. Tikimasi, kad ataskaitų teikimo sprendimai ateityje leis perkelti duomenis iš vieno laikotarpio į kitą, o tai automatiškai suteiks reikiamą palyginamąją informaciją.
Šablonas gali būti naudojamas duomenims įvesti ir tikrinti. Naudojant XBRL konverterį EFRAG svetainėje, jį galima išsaugoti kaip XBRL ataskaitą, nemokamu ir atviru duomenų formatu.Excel pavadintosios sritys taikomos atskleidimų duomenų paėmimui. Langelių reikšmės, kurios yra tuščios ir neturi jokios vertės (nei teksto, nei skaičiaus), nebus laikomos pateiktomis ir nebus įtrauktos į XBRL ataskaitą naudojant „Excel-to-XBRL“ konverterį.
Kai kurie išskleidžiamieji meniu VSME šablone turi daugiau nei 100 įrašų (pvz., EVRK kodai pagal B1, teršalų sąrašas pagal B4, atliekų sąrašas pagal B7). Kad būtų lengviau ieškoti sąraše, vartotojai gali tiesiog pradėti vesti raktažodį langelyje.
Jei rodomas saugumo įspėjimas, prašome pasirinkti „Įjungti turinį“, kad būtų galima automatiškai apskaičiuoti GPS koordinates objektų sąrašui pagal B1. Į internetą nebus siunčiama jokio kito turinio, išskyrus įvestą adresą, o su paslaugų teikėju dalijami duomenys reglamentuojami pagal „Nominatim“ naudojimo politiką (geokodavimo politika) ir privatumo politiką.
Visa EFRAG sekretoriato sukurta medžiaga yra platinama nemokamai ir kaip atvirojo kodo (MIT licencija), todėl bet kuris suinteresuotas subjektas gali ją tobulinti ir integruoti į komercinius sprendimus. Tačiau, laikantis licencijos sąlygų, būtina nurodyti EFRAG kaip šaltinį, jei ši medžiaga naudojama komerciniuose sprendimuose. Su MIT licencija galima susipažinti specialiame lape.
Jei norite pateikti klausimą dėl VSME skaitmeninio šablono arba skaitmeninio šablono konverterio į XBRL, tai galima padaryti sukuriant įrašą GitHub projekte.</t>
  </si>
  <si>
    <t>Celem tego elektronicznego szablonu jest zilustrowanie sposobu, w jaki sprawozdawczość VSME może być realizowana w elektronicznym szablonie. Szablon odzwierciedla zalecenie VSME opublikowane przez Komisję Europejską w dniu 30 lipca 2025 r. Szablonowi towarzyszy elektroniczna taksonomia XBRL VSME, która reprezentuje elektroniczny model danych ujawnień i jest dostępna na stronie internetowej EFRAG. VSME wymaga ujawniania informacji porównawczych dotyczących metryk (ustęp 12). Ten szablon umożliwia sprawozdawczość tylko za jeden okres sprawozdawczy. Dlatego może być używany wyłącznie do sprawozdawczości w pierwszym roku. Przewiduje się, że rozwiązania sprawozdawcze umożliwią kontynuację kolejnych okresów sprawozdawczych, automatycznie dostarczając niezbędne informacje porównawcze. Ten szablon może być używany do wprowadzania danych i ich walidacji. Korzystając z konwertera XBRL na stronie EFRAG, można go zapisać jako sprawozdanie XBRL w otwartym i bezpłatnym formacie danych. Zakresy danych określone w Excelu są używane do wyodrębniania ujawnień. Komórki, które są puste i nie zawierają żadnej wartości (ani tekstu, ani liczby), nie będą uważane jako zawierające ujawnienie i nie zostaną uwzględnione w raporcie XBRL podczas korzystania z konwertera Excel-na-XBRL. Kilka menu rozwijanych w VSME zawiera ponad 100 wpisów (np. kody NACE w B1, lista zanieczyszczeń w B4, lista odpadów w B7). Aby wyszukać na liście, użytkownicy mogą po prostu zacząć wpisywać słowa kluczowe w komórce. Jeśli pojawi się ostrzeżenie o zabezpieczeniach, proszę "Włączyć zawartość", aby umożliwić automatyczne obliczanie współrzędnych GPS dla listy miejsc w B1. Żadna wartość poza wprowadzonym adresem nie będzie wysyłana do internetu, a treści udostępnione dostawcy można znaleźć w Polityce użytkowania Nominatim (Polityka geokodowania) i Polityce prywatności. Wszystkie materiały opracowane przez Sekretariat EFRAG są udostępniane bezpłatnie i jako otwarte oprogramowanie (licencja MIT), co umożliwia każdej zainteresowanej stronie ich dalsze ulepszanie i integrację z rozwiązaniami komercyjnymi. Jednakże, z poszanowaniem warunków licencji, dostawcy tych rozwiązań komercyjnych muszą podać odniesienie do EFRAG. Można zapoznać się z licencją MIT w odpowiednim arkuszu. Jeśli chcą Państwo zgłosić problem dotyczący elektronicznego szablonu VSME lub elektronicznego konwertera szablonu do XBRL, prosimy o utworzenie zgłoszenia w projekcie GitHub.</t>
  </si>
  <si>
    <t xml:space="preserve">O objetivo deste modelo digital é ilustrar como o relatório VPME pode ser implementado num modelo digital. O modelo reflete a Recomendação VPME conforme publicada pela Comissão Europeia em 30 de julho de 2025. O modelo é acompanhado por uma taxonomia digital VPME XBRL, que representa o modelo de dados digital das divulgações e está disponível no site da EFRAG. A VPME requer a divulgação de informações comparativas sobre métricas (parágrafo 12). Este modelo permite a elaboração de relatórios para apenas um período de reporte. Portanto, pode ser utilizado apenas para reporte no primeiro ano. Espera-se que as soluções de reporte permitam o avanço dos períodos de reporte, o que forneceria automaticamente as informações comparativas necessárias.
Este modelo pode ser usado para introdução e validação de dados. Ao usar um Conversor XBRL no site da EFRAG, pode ser salvo como um relatório XBRL, num formato de dados livre e aberto. Intervalos selecionados do Excel são usados para extrair as divulgações. Células de valor que estão vazias e não têm nenhum valor (nem texto nem número) não serão consideradas como reportadas e não serão incluídas no relatório XBRL ao usar o conversor Excel-para-XBRL.
Alguns menus de seleção de opção de escolha na VPME têm mais de 100 opções (por exemplo, os códigos NACE sob B1, a lista de poluentes sob B4, a lista de resíduos sob B7). Para procurar na lista, os utilizadores podem simplesmente começar a digitar palavras-chave de pesquisa na célula.
Se for exibido um aviso de segurança, por favor "Ative o Conteúdo" para permitir o cálculo automático das coordenadas GPS para a lista de locais sob B1. Nenhum conteúdo além do endereço inserido será enviado para a Internet e os conteúdos partilhados com o provedor podem ser encontrados na Política de Uso do Nominatim (Política de Geocodificação) e na Política de Privacidade.
Todos os materiais desenvolvidos pela Secretaria da EFRAG são disponibilizados gratuitamente e como código aberto (licença MIT), o que permitirá a qualquer parte interessada melhorá-los e integrá-los em soluções comerciais. No entanto, respeitando as condições da licença, a referência à EFRAG deve ser mencionada pelos fornecedores dessas soluções comerciais. É possível consultar a Licença MIT na folha específica.
Se desejar relatar um problema com o Modelo Digital VPME ou com o Conversor Digital para XBRL, por favor faça-o criando um problema no projeto GitHub.
</t>
  </si>
  <si>
    <t xml:space="preserve">
Namen te digitalne predloge je ponazoriti, kako je mogoče poročanje po VSME izvesti v digitalni predlogi. Predloga odraža Priporočilo o VSME, kot ga je Evropska komisija objavila 30. julija 2025. Predlogi je priložena digitalna taksonomija VSME XBRL, ki predstavlja digitalni podatkovni model razkritij in je na voljo na spletni strani EFRAG. VSME zahteva razkritje primerjalnih informacij o metrikah (odstavek 12). Ta predloga omogoča poročanje samo za eno poročevalsko obdobje, zato je primerna predvsem za poročanje v prvem letu. Pričakuje se, da bodo rešitve za poročanje omogočale prenos (roll-forward) poročevalskih obdobij, kar bo samodejno zagotovilo potrebne primerjalne informacije.
Ta predloga se lahko uporablja za vnos in validacijo podatkov. Z uporabo XBRL pretvornika na spletni strani EFRAG jo je mogoče shraniti kot XBRL poročilo v brezplačnem in odprtem podatkovnem formatu. Za pripravo razkritij se uporabljajo poimenovani Excel obsegi (ranges). Polja, ki so prazna in nimajo nobene vrednosti (niti besedila niti številke), se ne bodo štela kot poročana in ne bodo vključena v XBRL poročilo pri uporabi pretvornika Excel-v-XBRL.
Nekateri spustni izbirni meniji v VSME vsebujejo več kot 100 vnosov (npr. kode NACE v razdelku B1, seznam onesnaževal v B4, seznam vrst odpadkov v B7). Za iskanje po seznamu lahko uporabniki preprosto začnejo vnašati ključne besede v polje.
Če se prikaže varnostno opozorilo, izberite »Enable Content«, da omogočite samodejni izračun GPS-koordinat za seznam lokacij v razdelku B1. Na internet ne bodo poslani nobeni podatki razen vnesenega naslova; podatki, ki se delijo s ponudnikom, so opisani v pravilniku Nominatim Usage Policy (Geocoding Policy) in v Pravilniku o zasebnosti.
Vsi materiali, ki jih je razvilo tajništvo EFRAG, so objavljeni brezplačno in odprtokodno (licenca MIT), kar omogoča, da jih lahko kateri koli deležnik dodatno razvija in vključi v komercialne rešitve. Ob upoštevanju licenčnih pogojev pa morajo ponudniki teh komercialnih rešitev navesti sklic na EFRAG. Licenco MIT je mogoče pregledati v posebnem zavihku.
Če želite prijaviti težavo v zvezi z digitalno predlogo VSME ali pretvornikom digitalne predloge v XBRL, to storite z odprtjem nove zadeve (issue) v projektu na GitHubu.</t>
  </si>
  <si>
    <t>El propósito de esta plantilla digital es ilustrar cómo se puede implementar la presentación de informes VSME en una plantilla digital. La plantilla refleja la Recomendación VSME publicada por la Comisión Europea el 30 de julio de 2025. La plantilla va acompañada de una taxonomía digital VSME XBRL, que representa el modelo digital de datos de las divulgaciones y está disponible en el sitio web de EFRAG. El VSME requiere la divulgación de información comparativa sobre métricas (párrafo 12). Esta plantilla permite la presentación de informes para un único período de informe. Por lo tanto, podría usarse solo para la presentación de informes en el primer año. Se espera que las soluciones de informes permitan la continuidad de los períodos de informe, lo que proporcionaría automáticamente la información comparativa necesaria.
Esta plantilla puede ser utilizada para la entrada y validación de datos. Al usar un Conversor XBRL en el sitio web de EFRAG, se puede guardar como un informe XBRL, en un formato de datos libre y abierto. Los rangos nombrados de Excel se utilizan para extraer las divulgaciones. Las celdas de valor que estén vacías y no tengan ningún valor (ni texto ni número) no se considerarán como reportadas y no se incluirán en el informe XBRL al usar el conversor de Excel a XBRL.
Algunos menús desplegables en el VSME tienen más de 100 entradas (por ejemplo, los códigos NACE bajo B1, la lista de contaminantes bajo B4, la lista de residuos bajo B7). Para buscar en la lista, los usuarios pueden simplemente empezar a escribir palabras clave en la celda.
Si se muestra una advertencia de seguridad, por favor “Habilite el contenido” para permitir el cálculo automático de las coordenadas GPS para la lista de sitios bajo B1. No se enviará contenido distinto de la dirección ingresada al proveedor y los contenidos compartidos con el proveedor pueden encontrarse en la Política de Uso de Nominatim (Política de Geocodificación) y en la Política de Privacidad.
Todos los materiales desarrollados por la Secretaría de EFRAG se publican de forma gratuita y como código abierto (licencia MIT), lo que permitirá a cualquier interesado mejorarlos e integrarlos en soluciones comerciales. Sin embargo, respetando las condiciones de la licencia, los proveedores de dichas soluciones comerciales deben mencionar la referencia a EFRAG. Es posible consultar la Licencia MIT en la hoja específica.
Si desea presentar un problema con la Plantilla Digital VSME o con el Convertidor de Plantilla Digital a XBRL, por favor hágalo creando un issue en el proyecto de GitHub.</t>
  </si>
  <si>
    <t>template_label_how_to_use_it</t>
  </si>
  <si>
    <t>How to use it:</t>
  </si>
  <si>
    <t>Sådan bruges den:</t>
  </si>
  <si>
    <t>Hoe te gebruiken:</t>
  </si>
  <si>
    <t>Comment l'utiliser :</t>
  </si>
  <si>
    <t>Anleitung:</t>
  </si>
  <si>
    <t>Conas é a úsáid:</t>
  </si>
  <si>
    <t>Come usarlo:</t>
  </si>
  <si>
    <t>Kaip tai naudoti:</t>
  </si>
  <si>
    <t>Jak korzystać:</t>
  </si>
  <si>
    <t>Como usar:</t>
  </si>
  <si>
    <t>Kako jo uporabljati:</t>
  </si>
  <si>
    <t>Cómo utilizarlo:</t>
  </si>
  <si>
    <t>template_label_0_provide_information_that_is_mandatory_in_order_to_generate_the_vsme_and_xbrl_report</t>
  </si>
  <si>
    <t>0. Provide information that is mandatory in order to generate the VSME and XBRL Report.</t>
  </si>
  <si>
    <t>0. Indtast de obligatoriske oplysninger for at kunne generere VSME- og XBRL-rapport</t>
  </si>
  <si>
    <t>0. Verstrek informatie die verplicht is om het VSME- en XBRL-rapport te genereren.</t>
  </si>
  <si>
    <t>0. Fournissez les informations obligatoires pour générer le rapport VSME et XBRL.</t>
  </si>
  <si>
    <t>0. Geben Sie die Informationen an, die für die Erstellung des VSME- und XBRL-Berichts verpflichtend anzugeben sind.</t>
  </si>
  <si>
    <t>0. Faisnéis atá éigeantach a sholáthar chun an Tuarascáil VSME agus XBRL a ghiniúint.</t>
  </si>
  <si>
    <t>0. Fornire le informazioni obbligatorie per poter generare la rendicontazione VSME e XBRL.</t>
  </si>
  <si>
    <t>0. Pateikite informaciją, kuri yra privaloma norint sukurti VSME ir XBRL ataskaitą.</t>
  </si>
  <si>
    <t>0. Dostarcz informacje, które są obowiązkowe do wygenerowania sprawozdania VSME i XBRL.</t>
  </si>
  <si>
    <t>0. Forneça as informações que são obrigatórias para gerar o Relatório VSME e XBRL.</t>
  </si>
  <si>
    <t>0. Navedite podatke, ki so obvezni za ustvarjanje poročila VSME in XBRL.</t>
  </si>
  <si>
    <t>0. Proporcione la información que es obligatoria para generar el informe VSME y XBRL.</t>
  </si>
  <si>
    <t>template_label_1_fill_in_the_disclosures_on_the_four_worksheets</t>
  </si>
  <si>
    <t>1. Fill in the disclosures on the four worksheets (General Information, Environmental Disclosures, Social Disclosures, Governance Disclosures) in the white cells framed by a black border. Do not enter information outside of those cells. Searching in drop-downs can be done by typing into the cell. Hints (input messages) are shown in several cells when selecting them.</t>
  </si>
  <si>
    <t xml:space="preserve">1. Udfyld oplysningerne i de fire ark (Generel information, Miljøoplysninger, Sociale oplysninger, Ledelsesoplysninger) i de hvide celler, der er indrammet med en sort kant. Indtast ikke oplysninger uden for disse celler. Det er muligt at søge i rullemenuerne ved at skrive i cellen. Tip (inputmeddelelser) vises i flere celler, når de vælges.
</t>
  </si>
  <si>
    <t>Vul de  rapportage in op de vier werkbladen (Algemene Informatie, Milieu rapportage, Sociale rapportage , Governance rapportage ) in de witte cellen omrand met een zwarte rand. Voer geen informatie buiten deze cellen in. Zoeken in keuzelijsten kan worden gedaan door in de cel te typen. Hints (invoermeldingen) worden in verschillende cellen getoond bij selectie.</t>
  </si>
  <si>
    <t>1. Remplissez les informations demandées dans les quatre feuilles de travail (Informations générales, Informations environnementales, Informations sociales, Informations de gouvernance) dans les cellules blanches encadrées d'une bordure noire. N'entrez aucune information en dehors de ces cellules. La recherche dans les menus déroulants peut être effectuée en tapant directement un mot-clé dans la cellule. Des indications (messages d'aide à la saisie) peuvent être affichées dans certaines cellules lors de leur sélection.</t>
  </si>
  <si>
    <t>1. Tragen Sie die Angaben in den vier Excel-Arbeitsblättern (General Information, Environmental Disclosures, Social Disclosures, Governance Disclosures) in die weißen, schwarz umrandeten Zellen ein. Tragen Sie keine Informationen außerhalb dieser Zellen ein. Die Suche in Dropdown-Listen kann durch Eingabe eines Suchbegriffs in die Zelle erfolgen. Hinweise zur Eingabe werden in mehreren Zellen angezeigt, sobald die entsprechende Zelle ausgewählt wird.</t>
  </si>
  <si>
    <t>1. Líon isteach na nochtadh ar na ceithre bhileog oibre (Faisnéis Ghinearálta, Nochtadh Comhshaoil, Nochtadh Sóisialta, Nochtadh Rialachais) sna cealla bána atá frámaithe ag teorainn dhubh. Ná cuir isteach faisnéis lasmuigh de na cealla sin. Is féidir cuardach a dhéanamh i ndaoine anuas trí chlóscríobh isteach sa chill. Taispeántar leideanna (teachtaireachtaí ionchuir) i roinnt cealla nuair a roghnaítear iad.</t>
  </si>
  <si>
    <t>1. Compila le informative sui quattro fogli di lavoro (Informazioni Generali, Informative Ambientali, Informative Sociali, Informative sulla Governance) nelle celle bianche delimitate da un bordo nero. Non introdurre informazioni al di fuori di tali celle. La ricerca nei menu a tendina può essere effettuata digitando nella cella. Suggerimenti (messaggi di input) sono mostrati in diverse celle durante la selezione.</t>
  </si>
  <si>
    <t>1. Užpildykite atskleidimus keturiuose darbalapiuose (Bendroji informacija, Aplinkos srities atskleidimai, Socialinės srities atskleidimai, Valdymo srities atskleidimai) baltuose langeliuose, apibrėžtuose juodu rėmeliu. Neveskite informacijos už šių langelių ribų. Išskleidžiamuosiuose sąrašuose galite ieškoti, įvesdami tekstą tiesiai į langelį. Pažymėjus kai kuriuos langelius, pasirodys trumpos užuominos.</t>
  </si>
  <si>
    <t>1. Wpisz ujawnienia na czterech arkuszach (Informacje ogólne, Ujawnienia środowiskowe, Ujawnienia społeczne, Ujawnienia dotyczące ładu korporacyjnego) w białych komórkach obramowanych czarną ramką. Nie wpisuj informacji poza tymi komórkami. Wyszukiwanie w rozwijanych listach można przeprowadzać, wpisując tekst w komórkę. Wskazówki (komunikaty wejściowe) są wyświetlane w kilku komórkach po ich zaznaczeniu.</t>
  </si>
  <si>
    <t>1. Preencha as divulgações nas quatro folhas de cálculo (Informações Gerais, Divulgações Ambientais, Divulgações Sociais, Divulgações de Governação) nas células brancas emolduradas por uma borda preta. Não insira informações fora dessas células. A pesquisa nas listas de opção de escolha pode ser feita digitando na célula. Dicas (mensagens de entrada) são mostradas em várias células ao selecioná-las.</t>
  </si>
  <si>
    <t>1. Izpolnite razkritja na štirih delovnih listih (Splošne informacije, Okoljska razkritja, Družbena razkritja, Upravljavska razkritja) v belih poljih, uokvirjenih s črnim robom. Ne vnašajte informacij zunaj teh polij. Iskanje v spustnih menijih je mogoče z vnosom v polje. Namigi (vnosna sporočila) so prikazani v več poljih, ko jih izberete.</t>
  </si>
  <si>
    <t>1. Rellene las revelaciones en las cuatro hojas de trabajo (Información General, Información Ambiental, Información Social, Información de Gobernanza) en las celdas blancas enmarcadas por un borde negro. No introduzca información fuera de esas celdas. La búsqueda en listas desplegables se puede hacer escribiendo en la celda. Se muestran sugerencias (mensajes de entrada) en varias celdas al seleccionarlas.</t>
  </si>
  <si>
    <t>template_label_2_find_more_information_on_the_actual_disclosure_requirements_in_the_vsme_standard</t>
  </si>
  <si>
    <t>2. Find more information on the actual disclosure requirements in the VSME Standard and the related guidance linked to each cell. Additional or entity-specific disclosures can be provided in each text box at the end of each worksheet.</t>
  </si>
  <si>
    <t>2. Find mere information om de faktiske oplysningskrav i VSME-standarden og den relaterede vejledning, der er knyttet til hver celle. Yderligere eller virksomheds-specifikke oplysninger kan gives i hver tekstboks i slutningen af hvert regneark.</t>
  </si>
  <si>
    <t xml:space="preserve">2. Zoek meer informatie over de werkelijke  rapportagevereisten in de VSME-standaard en de bijbehorende  handreikingen die aan elke cel zijn gekoppeld. Aanvullende of entiteitsspecifieke  rapportage kan worden verstrekt in elk tekstvak aan het einde van elk werkblad.
</t>
  </si>
  <si>
    <t>2. Consultez les liens associés pour obtenir plus d’informations sur les exigences de publication de la norme VSME, ainsi que sur les orientations correspondantes liées à chaque cellule. Des informations supplémentaires ou spécifiques à l'entité peuvent être fournies dans chaque zone de texte située à la fin de chaque feuille de travail.</t>
  </si>
  <si>
    <t>2. Weitere Informationen zu den tatsächlichen Angabepflichten finden sich im VSME-Standard sowie über die in den Zellen verlinkten Leitlinien. Zusätzliche oder unternehmensspezifische Angaben können in einem Textfeld am Ende jedes Excel-Arbeitsblatts gemacht werden.</t>
  </si>
  <si>
    <t>2. Faigh tuilleadh faisnéise faoi na ceanglais nochta iarbhír i gCaighdeán VSME agus sa treoir ghaolmhar atá nasctha le gach cill. Is féidir nochtadh breise nó eintiteas-shonrach a sholáthar i ngach bosca téacs ag deireadh gach bileog oibre.</t>
  </si>
  <si>
    <t>2. Trova maggiori informazioni sugli obblighi di informativa effettivi nel principio VSME e negli orientamenti correlati collegati a ciascuna cella. Divulgazioni aggiuntive o specifiche per l'entità possono essere fornite in ogni casella di testo alla fine di ciascun foglio di lavoro.</t>
  </si>
  <si>
    <t>2. Daugiau informacijos apie faktinius atskleidimo reikalavimus rasite VSME standarte ir su kiekvienu langeliu susietose gairėse. Papildomi arba įmonei specifiniai atskleidimai gali būti pateikiami kiekvieno darbalapio pabaigoje esančiuose teksto laukeliuose.</t>
  </si>
  <si>
    <t>2. Znajdź więcej informacji na temat aktualnych wymogów sprawozdawczych wynikająch z VSME oraz powiązanych wytycznych dotyczących danej komórki. Dodatkowe lub specyficzne dla jednostki ujawnienia można zamieścić w każdym polu tekstowym na końcu każdego arkusza.</t>
  </si>
  <si>
    <t xml:space="preserve">2. Encontre mais informações sobre os requisitos atuais de divulgação no Modelo VSME e na orientação relacionada vinculada a cada célula. Divulgações adicionais ou específicas da entidade podem ser fornecidas em cada caixa de texto no final de cada folha de cálculo.
</t>
  </si>
  <si>
    <t>2. Več informacij o dejanskih zahtevah glede razkritja najdete v standardu VSME in povezanih smernicah, povezanih z vsakim poljem. Dodatna ali za posamezno podjetje specifična razkritja so lahko navedena v vsakem besedilnem polju na koncu vsakega delovnega lista.</t>
  </si>
  <si>
    <t>2. Encuentre más información sobre los requisitos reales de divulgación en el Estándar VSME y la orientación relacionada vinculada a cada celda. Se pueden proporcionar divulgaciones adicionales o específicas de la entidad en cada cuadro de texto al final de cada hoja de cálculo.</t>
  </si>
  <si>
    <t>template_label_3_for_open_tables_like_the_list_of_subsidizers_sites_please_expand_the_groups_by_clicking_the_plus</t>
  </si>
  <si>
    <t>3. For open tables like the List of subsidiaries/sites, please expand the groups by clicking the plus [+] icon on the left side. If more rows are needed, they can be added by inserting them between the first and last row. The row IDs in open tables must remain unique per table.</t>
  </si>
  <si>
    <t xml:space="preserve">3. For åbne tabeller som 'Listen over subsidierere/site placeringer', udvid venligst grupperne ved at klikke på plus-ikonet [+] på venstre side. Hvis der er behov for flere rækker, kan de tilføjes ved at indsætte dem mellem den første og sidste række. Række-ID'er i åbne tabeller skal forblive unikke per tabel. </t>
  </si>
  <si>
    <t>3. Voor open tabellen zoals de Lijst van subsidieverstrekkers/locaties, vouw de groepen open door op het plusteken [+] aan de linkerkant te klikken. Indien er meer rijen nodig zijn, kunnen deze worden toegevoegd door ze tussen de eerste en laatste rij in te voegen. De rij-ID's in open tabellen moeten uniek blijven per tabel.</t>
  </si>
  <si>
    <t>3. Pour les tableaux ouverts, tels que la liste des filiales, veuillez développer les groupes en cliquant sur l’icône plus [+] située sur le côté gauche.
Si des lignes supplémentaires sont nécessaires, elles peuvent être ajoutées en les insérant entre la première et la dernière ligne du tableau.
Les identifiants des lignes dans les tableaux ouverts doivent rester uniques dans chacun des tableaux.</t>
  </si>
  <si>
    <t>3. Für offene Tabellen wie die Liste der Tochterunternehmen/Standorte bitte die Gruppen durch Klicken auf das Pluszeichen [+] links erweitern. Falls weitere Zeilen benötigt werden, können diese zwischen der ersten und letzten Zeile eingefügt werden. Die Zeilen-IDs in offenen Tabellen müssen je Tabelle einzigartig bleiben.</t>
  </si>
  <si>
    <t>3. Maidir le táblaí oscailte cosúil leis an Liosta de fhóirdheontóirí / suíomhanna, leathnaigh na grúpaí le do thoil trí chliceáil ar an deilbhín móide [+] ar thaobh na láimhe clé. Má tá níos mó sraitheanna ag teastáil, is féidir iad a chur leis tríd iad a chur isteach idir an chéad sraith agus an tsraith dheireanach. Caithfidh na haitheantais as a chéile i dtáblaí oscailte fanacht uathúil in aghaidh an tábla.</t>
  </si>
  <si>
    <t>3. Per tabelle aperte come l'Elenco delle imprese figlie/siti, si prega di espandere i gruppi cliccando sull'icona più [+] sul lato sinistro. Se sono necessarie altre righe, possono essere aggiunte inserendole tra la prima e l'ultima riga. Gli ID delle righe nelle tabelle aperte devono rimanere univoci per ogni tabella.</t>
  </si>
  <si>
    <t>3. Atvirose lentelėse (pavyzdžiui, „dukterinių įmonių / vietų (objektų) sąrašas) grupes išskleiskite spustelėdami kairėje esantį piktogramą „+“. Jei reikia daugiau eilučių, jas pridėkite įterpdami tarp pirmosios ir paskutinės eilutės.  Eilučių ID atviruose lentelėse turi išlikti unikalūs kiekvienoje lentelėje.</t>
  </si>
  <si>
    <t>3. Dla tabel mogących być uzupełnianych o dodatkowe wiersze, takich jak lista jednostek zależnych/ lokalizacji, proszę rozwinąć grupy, klikając ikonę plusa [+] po lewej stronie. Jeśli potrzebne są dodatkowe wiersze, można je dodać, wstawiając je między pierwszy a ostatnim wierszem. Identyfikatory wierszy w otwartych tabelach muszą pozostać unikalne dla każdej tabeli.</t>
  </si>
  <si>
    <t xml:space="preserve">3. Para tabelas abertas, como a Lista de subsídios/locais, por favor expanda os grupos clicando no ícone de mais [+] no lado esquerdo. Se forem necessárias mais linhas, estas podem ser adicionadas inserindo-as entre a primeira e a última linha. Os IDs das linhas em tabelas abertas devem permanecer únicos por tabela.
</t>
  </si>
  <si>
    <t>3. V odprtih tabelah, kot je Seznam odvisnih družb/lokacij, povečajte število prikazanih vrstic klikom na ikono plus [+] na levi strani. Če potrebujete še več vrstic, jih lahko dodate tako, da jih vstavite med prvo in zadnjo vrstico. ID-ji vrstic v odprtih tabelah morajo biti unikatni za vsako tabelo.</t>
  </si>
  <si>
    <t>3. Para tablas abiertas como la Lista de filiales/emplazamientos, por favor expanda los grupos haciendo clic en el icono de más [+] en el lado izquierdo. Si se necesitan más filas, se pueden agregar insertándolas entre la primera y la última fila. Los ID de fila en tablas abiertas deben permanecer únicos por tabla.</t>
  </si>
  <si>
    <t>template_label_4_validate_the_data_entered_by_checking_the_validation_status</t>
  </si>
  <si>
    <t>4. Validate the data entered by checking the validation status. The report is considered incomplete or erroneous if the validation fails, which might result in an invalid XBRL report.</t>
  </si>
  <si>
    <t>4. Valider de indtastede data ved at kontrollere valideringsstatus. Rapporten betragtes som ufuldstændig eller fejlagtig, hvis valideringen fejler, hvilket kan resultere i en ugyldig XBRL-rapport.</t>
  </si>
  <si>
    <t xml:space="preserve">Valideer de ingevoerde gegevens door de validatiestatus te controleren. Het rapport wordt als onvolledig of foutief beschouwd indien de validatie faalt, wat kan resulteren in een ongeldig XBRL-rapport. 
</t>
  </si>
  <si>
    <t>4. Validez les données saisies en vérifiant le statut de validation. Le rapport est considéré comme incomplet ou erroné si la validation échoue, ce qui peut entraîner la génération d’un rapport XBRL non valide.</t>
  </si>
  <si>
    <t xml:space="preserve">4. Eingegebene Daten können über den Validierungsstatus überprüft werden. Wenn die Validierung fehlschlägt, gilt der Bericht als unvollständig oder fehlerhaft. Dies kann zu einem ungültigen XBRL-Bericht führen. 
</t>
  </si>
  <si>
    <t>4. Bailíochtaigh na sonraí a iontráladh tríd an stádas bailíochtaithe a sheiceáil. Meastar go bhfuil an tuarascáil neamhiomlán nó earráideach má theipeann ar an mbailíochtú, rud a d'fhéadfadh tuarascáil XBRL neamhbhailí a bheith mar thoradh air.</t>
  </si>
  <si>
    <t>4. Convalidare i dati inseriti controllando lo stato di convalida. La relazione è considerata incompleta o errata se la convalida fallisce, il che potrebbe comportare una relazione XBRL non valida.</t>
  </si>
  <si>
    <t>4. Patvirtinkite įvestus duomenis, patikrindami patikros būseną.
Ataskaita bus laikoma neišsamia arba klaidinga, jei patikra nepavyks, o tai gali lemti netinkamą XBRL ataskaitą.</t>
  </si>
  <si>
    <t>4. Zweryfikuj wprowadzone dane, sprawdzając status walidacji. Sprawozdanie jest uznawane za niekompletne lub błędne, jeśli walidacja nie powiedzie się, co może skutkować nieprawidłowym sprawozdaniem XBRL.</t>
  </si>
  <si>
    <t>4. Validar os dados introduzidos, verificando o estado da validação. O relatório é considerado incompleto ou incorreto se a validação falhar, podendo resultar num relatório XBRL inválido.</t>
  </si>
  <si>
    <t>4. Preverite vnesene podatke in rezultat preverjanja njihove pravilnosti. Če preverjanje ni uspešno, se poročilo šteje za nepopolno ali nepravilno, kar lahko povzroči neveljavnost XBRL poročila.</t>
  </si>
  <si>
    <t>4. Valide los datos introducidos comprobando el estado de validación. Se considera que el informe está incompleto o contiene errores si la validación falla, lo que podría resultar en un informe XBRL no válido.</t>
  </si>
  <si>
    <t>template_label_5_convert_this_template_to_an_inline_xbrl_report</t>
  </si>
  <si>
    <t>5. Convert this template to an Inline XBRL report (or XBRL-JSON, XBRL-CSV), using the online converter: https://xbrl.efrag.org/convert/. Pay attention to the XBRL validation performed by the validator.</t>
  </si>
  <si>
    <t>5. Konverter denne skabelon til en Inline XBRL-rapport (eller XBRL-JSON, XBRL-CSV) ved brug af denne online-konverter: https://xbrl.efrag.org/convert/. Vær opmærksom på den XBRL-validering, der udføres af validatoren.</t>
  </si>
  <si>
    <t xml:space="preserve">Converteer dit sjabloon naar een Inline XBRL-rapport (of XBRL-JSON, XBRL-CSV) met behulp van deze online converter: https://xbrl.efrag.org/convert/. Let op de uitkomsten van de XBRL-validatie die door de validator wordt uitgevoerd. 
</t>
  </si>
  <si>
    <t>5. Convertissez ce format en rapport Inline XBRL (ou XBRL-JSON, XBRL-CSV), en utilisant le convertisseur en ligne: https://xbrl.efrag.org/convert/. Faites attention à la validation XBRL effectuée par l'outil de validation.</t>
  </si>
  <si>
    <t>5. Konvertieren Sie diese VSME-Vorlage mit dem Online-Konverter in einen Inline-XBRL-Bericht (oder XBRL-JSON, XBRL-CSV): https://xbrl.efrag.org/convert/. Achten Sie auf die vom Validator durchgeführte XBRL-Validierung.</t>
  </si>
  <si>
    <t>5. Tiontaigh an teimpléad seo go tuarascáil XBRL Inlíne (nó XBRL-JSON, XBRL-CSV), ag baint úsáide as an tiontaire ar líne: https://xbrl.efrag.org/convert/. Tabhair aird ar an mbailíochtú XBRL a dhéanann an bailíochtóir.</t>
  </si>
  <si>
    <t>5. Converti questo modello in una relazione Inline XBRL (o XBRL-JSON, XBRL-CSV), utilizzando questo convertitore online: https://xbrl.efrag.org/convert/. Presta attenzione alla validazione XBRL eseguita dal validatore.</t>
  </si>
  <si>
    <t>5. Šį šabloną konvertuokite į Inline XBRL ataskaitą (arba XBRL-JSON, XBRL-CSV), naudodami šį internetinį konvertavimo įrankį: https://xbrl.efrag.org/convert/. Atkreipkite dėmesį į XBRL patikros rezultatus, kuriuos pateikia tikrinimo įrankis.</t>
  </si>
  <si>
    <t>5. Przekonwertuj ten uzupełniony szablon na raport Inline XBRL (lub XBRL-JSON, XBRL-CSV) korzystając z konwertera online: https://xbrl.efrag.org/convert/. Zwróć uwagę na walidację XBRL przeprowadzaną przez walidator.</t>
  </si>
  <si>
    <t>5. Converta este modelo para um relatório Inline XBRL (ou XBRL-JSON, XBRL-CSV), utilizando el conversor online: https://xbrl.efrag.org/convert/. Esteja atento à validação XBRL efetuada pelo validador.</t>
  </si>
  <si>
    <t>5. Pretvorite to predlogo v Inline XBRL poročilo (ali XBRL-JSON, XBRL-CSV) s pomočjo spletnega pretvornika. Bodite pozorni na preverjanje pravilnosti XBRL, ki jo izvaja pretvornik.</t>
  </si>
  <si>
    <t>5. Convierte esta plantilla en un informe Inline XBRL (o XBRL-JSON, XBRL-CSV) utilizando el convertidor en línea: https://xbrl.efrag.org/convert/. Presta atención a la validación XBRL realizada por el validador.</t>
  </si>
  <si>
    <t>template_label_6_the_undertaking_may_also_upload_the_report_to_public_repositories_or_a_webpage</t>
  </si>
  <si>
    <t>6. The undertaking may also upload the report to public repositories or a webpage.</t>
  </si>
  <si>
    <t>6. Virksomheden kan også uploade rapporten til offentlige arkiver eller en webside.</t>
  </si>
  <si>
    <t>De onderneming mag het rapport ook uploaden naar openbare databases of een webpagina.</t>
  </si>
  <si>
    <t>6. L'entreprise peut aussi télécharger le rapport dans des registres publics en ligne ou sur une page web</t>
  </si>
  <si>
    <t xml:space="preserve">6. Das Unternehmen kann den Bericht auch in öffentlichen Archiven oder auf einer Webseite hochladen. </t>
  </si>
  <si>
    <t>6. Féadfaidh an gnóthas an tuarascáil a uaslódáil freisin chuig stórtha poiblí nó ar leathanach gréasáin.</t>
  </si>
  <si>
    <t>6. L'impresa può inoltre caricare la relazione su archivi pubblici o su una pagina web.</t>
  </si>
  <si>
    <t>6. Įmonė taip pat gali įkelti ataskaitą į viešai prieinamas saugyklas arba interneto svetainę.</t>
  </si>
  <si>
    <t xml:space="preserve">6. Jednostka może również umieścić sprawozdanie w publicznych repozytoriach lub na stronie nternetowej. </t>
  </si>
  <si>
    <t>6. A empresa também pode carregar o relatório em repositórios públicos ou numa página web.</t>
  </si>
  <si>
    <t>6. Podjetje lahko poročilo naloži tudi v javne repozitorije ali na spletno stran.</t>
  </si>
  <si>
    <t>6. El empresario también podrá subir el informe a repositorios públicos o a una página web.</t>
  </si>
  <si>
    <t>template_label_cell_background_color_index</t>
  </si>
  <si>
    <t>Cell background color index:</t>
  </si>
  <si>
    <t>Farveindeks for cellebaggrund:</t>
  </si>
  <si>
    <t>Cel achtergrondkleurindex:</t>
  </si>
  <si>
    <t>Légende couleur des cellules :</t>
  </si>
  <si>
    <t>Die Hintergrundfarben der Zellen haben folgende Bedeutungen:</t>
  </si>
  <si>
    <t>Innéacs dath cúlra na cille:</t>
  </si>
  <si>
    <t>Indice colore dello sfondo della cella:</t>
  </si>
  <si>
    <t>Langelio fono spalvos indeksas:</t>
  </si>
  <si>
    <t>Indeks koloru tła komórki:</t>
  </si>
  <si>
    <t>Índice da cor de fundo da célula:</t>
  </si>
  <si>
    <t>Indeks barv ozadja polja:</t>
  </si>
  <si>
    <t>Índice de color de fondo de celda:</t>
  </si>
  <si>
    <t>template_label_general_principles</t>
  </si>
  <si>
    <t>General Principles</t>
  </si>
  <si>
    <t>Generelle principper</t>
  </si>
  <si>
    <t>Algemene vereisten</t>
  </si>
  <si>
    <t>Principes généraux</t>
  </si>
  <si>
    <t>Allgemeine Grundsätze</t>
  </si>
  <si>
    <t>Prionsabail Ghinearálta</t>
  </si>
  <si>
    <t>Principi Generali</t>
  </si>
  <si>
    <t>Bendrieji principai</t>
  </si>
  <si>
    <t>Zasady ogólne</t>
  </si>
  <si>
    <t>Princípios Gerais</t>
  </si>
  <si>
    <t>Splošna načela</t>
  </si>
  <si>
    <t xml:space="preserve">Principios generales
</t>
  </si>
  <si>
    <t>template_label_indicates_that_the_disclosure_is_from_the_general_principles_of_the_vsme</t>
  </si>
  <si>
    <t>Indicates that the disclosure is from the general principles of the VSME.</t>
  </si>
  <si>
    <t>Angiver, at oplysningerne stammer fra de generelle principper for VSME.</t>
  </si>
  <si>
    <t>Geeft aan dat de  rapportage afkomstig is van de algemene  vereisten van de VSME.</t>
  </si>
  <si>
    <t>Indique que la divulgation relève des principes généraux de VSME</t>
  </si>
  <si>
    <t>Bedeutet, dass die Angabe sich auf die allgemeinen Grundsätze des VSME bezieht.</t>
  </si>
  <si>
    <t>Tugann sé le fios go bhfuil an nochtadh ó phrionsabail ghinearálta an VSME.</t>
  </si>
  <si>
    <t>Indica che l'informativa proviene dai principi generali del VSME.</t>
  </si>
  <si>
    <t xml:space="preserve">Nurodo, kad atskleidimas yra iš VSME bendrųjų principų. 
</t>
  </si>
  <si>
    <t>Wskazuje, że ujawnienie informacji pochodzi z ogólnych zasad VSME.</t>
  </si>
  <si>
    <t>Indica que a divulgação se baseia nos princípios gerais do VSME.</t>
  </si>
  <si>
    <t>Označuje, da razkritje izhaja iz splošnih načel VSME.</t>
  </si>
  <si>
    <t>Indica que la divulgación proviene de los principios generales del VSME.</t>
  </si>
  <si>
    <t>template_label_basic_module</t>
  </si>
  <si>
    <t>Basic Module</t>
  </si>
  <si>
    <t xml:space="preserve">Basismondul </t>
  </si>
  <si>
    <t>Basismodule</t>
  </si>
  <si>
    <t>Indique que la divulgation provient du module de base VSME.</t>
  </si>
  <si>
    <t>Basismodul</t>
  </si>
  <si>
    <t>Modúl Bunúsach</t>
  </si>
  <si>
    <t>Modulo base</t>
  </si>
  <si>
    <t>Bazinis modulis</t>
  </si>
  <si>
    <t>Moduł podstawowy</t>
  </si>
  <si>
    <t>Módulo de base</t>
  </si>
  <si>
    <t>Osnovni modul</t>
  </si>
  <si>
    <t>Módulo básico</t>
  </si>
  <si>
    <t>template_label_indicates_that_the_disclosure_is_from_the_vsme_basic_module</t>
  </si>
  <si>
    <t>Indicates that the disclosure is from the VSME Basic Module.</t>
  </si>
  <si>
    <t>Angiver, at oplysningen stammer fra basismodulet i VSME.</t>
  </si>
  <si>
    <t>Geeft aan dat de  rapportage afkomstig is van de VSME basismodule.</t>
  </si>
  <si>
    <t>Module complet</t>
  </si>
  <si>
    <t>Bedeutet, dass die Angabe aus dem VSME-Basismodul stammt.</t>
  </si>
  <si>
    <t>Léiríonn sé go bhfuil an nochtadh ón Modúl Bunúsach VSME.</t>
  </si>
  <si>
    <t>Indica che l'informativa proviene dal Modulo base del VSME.</t>
  </si>
  <si>
    <t>Nurodo, kad atskleidimas pateiktas pagal VSME pagrindinį modulį.</t>
  </si>
  <si>
    <t>Wskazuje, że ujawnienie pochodzi z modułu podstawowego VSME.</t>
  </si>
  <si>
    <t>Indica que a divulgação é proveniente do Módulo Básico VSME.</t>
  </si>
  <si>
    <t>Označuje, da razkritje izhaja iz osnovnega modula VSME.</t>
  </si>
  <si>
    <t>Indica que la divulgación proviene del Módulo Básico VSME.</t>
  </si>
  <si>
    <t>template_label_comprehensive_module</t>
  </si>
  <si>
    <t>Comprehensive Module</t>
  </si>
  <si>
    <t>Udvidet modul</t>
  </si>
  <si>
    <t>Uitgebreide module</t>
  </si>
  <si>
    <t>Indique que la divulgation provient du module complet VSME.</t>
  </si>
  <si>
    <t>Zusatzmodul</t>
  </si>
  <si>
    <t>Modúl Cuimsitheach</t>
  </si>
  <si>
    <t>Modulo Onnicomprensivo</t>
  </si>
  <si>
    <t>Išsamusis modulis</t>
  </si>
  <si>
    <t>Moduł kompleksowy</t>
  </si>
  <si>
    <t>Celovit modul</t>
  </si>
  <si>
    <t>Módulo completo</t>
  </si>
  <si>
    <t>template_label_indicates_that_the_disclosure_is_from_the_vsme_comprehensive_module</t>
  </si>
  <si>
    <t>Indicates that the disclosure is from the VSME Comprehensive Module.</t>
  </si>
  <si>
    <t>Angiver, at oplysningen stammer fra det udvidede modul i VSME.</t>
  </si>
  <si>
    <t>Geeft aan dat de  rapportage afkomstig is uit de VSME uitgebreide module.</t>
  </si>
  <si>
    <t>Indique que la cellule est calculée automatiquement et qu’aucune saisie de données n’est requise.</t>
  </si>
  <si>
    <t>Bedeutet, dass die Angabe aus dem VSME-Zusatzmodul stammt.</t>
  </si>
  <si>
    <t>Tugann sé le fios go bhfuil an nochtadh ón Modúl Cuimsitheach VSME.</t>
  </si>
  <si>
    <t>Indica che l'informativa proviene dal Modulo Onnicomprensivo del VSME.</t>
  </si>
  <si>
    <t>Nurodo, kad atskleidimas pateikiamas pagal VSME Išsamųjį modulį.</t>
  </si>
  <si>
    <t>Wskazuje, że ujawnienie pochodzi z modułu kompleksowego VSME.</t>
  </si>
  <si>
    <t>Označuje, da razkritje izhaja iz celovitega modula VSME.</t>
  </si>
  <si>
    <t>Indica que la divulgación proviene del Módulo Completo VSME.</t>
  </si>
  <si>
    <t>template_label_indicates_that_the_cell_is_automatically_calculated_and_that_no_data_entry_is_required</t>
  </si>
  <si>
    <t>Indicates that the cell is automatically calculated and that no data entry is required.</t>
  </si>
  <si>
    <t>Indikerer, at cellen automatisk beregnes, og at der ikke kræves nogen dataindtastning.</t>
  </si>
  <si>
    <t>Geeft aan dat de cel automatisch wordt berekend en dat er geen gegevensinvoer vereist is.</t>
  </si>
  <si>
    <t>Bedeutet, dass die Zelle automatisch berechnet wird und keine Dateneingabe erforderlich ist.</t>
  </si>
  <si>
    <t>Léiríonn sé go ríomhtar an chill go huathoibríoch agus nach bhfuil aon iontráil sonraí ag teastáil.</t>
  </si>
  <si>
    <t>Indica che la cella è calcolata automaticamente e che non è richiesta alcuna immissione di dati.</t>
  </si>
  <si>
    <t>Langelyje automatiškai apskaičiuojama langelio vertė, todėl duomenų įvedimas nėra reikalingas.</t>
  </si>
  <si>
    <t>Wskazuje, że komórka jest obliczana automatycznie i nie jest wymagane ręczne wprowadzanie danych.</t>
  </si>
  <si>
    <t>Indica que a célula é calculada automaticamente e que não é necessária a introdução de dados.</t>
  </si>
  <si>
    <t>Označuje, da se razkritje v polju izračuna samodejno in da vnos podatkov ni potreben.</t>
  </si>
  <si>
    <t xml:space="preserve">Indica que la celda se calcula automáticamente y que no se requiere introducir datos. 
</t>
  </si>
  <si>
    <t>template_label_indicates_that_the_datapoint_often_a_condition_will_not_be_included_in_the_vsme_and_digital_xbrl_report</t>
  </si>
  <si>
    <t>Indicates that the datapoint (often a condition) will not be included in the VSME and digital XBRL report. These cells are provided to facilitate the completion of the disclosure as they either trigger the applicability of the disclosure or they enable the automatic calculation of the disclosure. If the yellow cells are not being used to calculate a value, the total that is to be reported can be entered manually overwriting by the formula.</t>
  </si>
  <si>
    <t xml:space="preserve">Angiver, at datapunktet (ofte en betingelse) ikke vil blive inkluderet i VSME- og den digitale XBRL-rapport. Disse celler stilles til rådighed for at lette udfyldelsen af oplysningskravet, da de enten udløser anvendelsen af oplysningen eller muliggør automatisk beregning af oplysningen. Hvis de gule celler ikke bruges til at beregne en værdi, kan det samlede beløb, der skal rapporteres, indtastes manuelt og dermed overskrive formlen. </t>
  </si>
  <si>
    <t>Geeft aan dat het datapunt (vaak een voorwaarde) niet zal worden opgenomen in het VSME- en digitale XBRL-rapport. Deze cellen worden verstrekt om de voltooiing van de  rapportage te vergemakkelijken, aangezien ze ofwel de toepasbaarheid van de  rapportage activeren of de automatische berekening van de  rapportage mogelijk maken. Als de gele cellen niet worden gebruikt om een waarde te berekenen, kan het totaal dat moet worden gerapporteerd handmatig worden ingevoerd, waarbij de formule wordt overschreven.</t>
  </si>
  <si>
    <t>Indique que le point de donnée (souvent une condition) ne sera pas inclus dans le rapport VSME ni dans le rapport numérique XBRL. Ces cellules servent à faciliter la saisie des informations dans la mesure où elles déclenchent l'applicabilité de la divulgation ou permettent le calcul automatique des informations. Si les cellules jaunes ne sont pas utilisées pour calculer une valeur, le total à reporter peut être saisi manuellement, en remplaçant la formule existante.</t>
  </si>
  <si>
    <t>Bedeutet, dass der Datenpunkt (oft eine Bedingung) nicht im VSME- und digitalen XBRL-Bericht enthalten sein wird. Diese Zellen dienen zur Erleichterung der Vervollständigung der Angabe, da sie entweder die Bedingungen für die Angabe ("falls zutreffend") auslösen oder die automatische Berechnung der Angabe ermöglichen. Wenn die gelben Zellen nicht zur Berechnung eines Wertes verwendet werden, kann die anzugebende Gesamtsumme durch manuelles Überschreiben der Formel eingegeben werden.</t>
  </si>
  <si>
    <t>Tugann sé le fios nach gcuirfear an pointe sonraí (coinníoll go minic) san áireamh sa tuarascáil VSME agus XBRL digiteach. Cuirtear na cealla seo ar fáil chun comhlánú an nochta a éascú toisc go spreagann siad infheidhmeacht an nochta nó go gcuireann siad ar chumas an nochtadh a ríomh go huathoibríoch. Mura bhfuil na cealla buí á n-úsáid chun luach a ríomh, is féidir an t-iomlán atá le tuairisciú a iontráil de láimh ag an bhfoirmle.</t>
  </si>
  <si>
    <t>Indica che l'elemento di informativa (spesso una condizione) non sarà incluso nella relazione VSME e nella relazione digitale XBRL. Queste celle sono fornite per facilitare il completamento dell'informativa, in quanto attivano l'applicabilità dell'informativa oppure consentono il calcolo automatico dell'informativa stessa. Se le celle gialle non vengono utilizzate per calcolare un valore, il totale da riportare può essere inserito manualmente, sovrascrivendo la formula.</t>
  </si>
  <si>
    <t>Nurodo, kad duomenų taškas (dažnai – sąlyga) nebus įtrauktas į VSME ir skaitmeninę XBRL ataskaitą. Šie langeliai pateikiami siekiant palengvinti atskleidimo pildymą, nes jie arba lemia atskleidimo taikomumą, arba leidžia automatiškai apskaičiuoti atskleidimą. Jei geltoni langeliai nenaudojami vertei apskaičiuoti, ataskaitoje teikiamą bendrą sumą galima įvesti rankiniu būdu, perrašant formulę.</t>
  </si>
  <si>
    <t xml:space="preserve">Wskazuje, że punkt danych (często warunek) nie będzie uwzględniany w sprawozdaniu VSME oraz elektronicznym sprawozdaniu XBRL. Te komórki są przewidziane, aby ułatwić wypełnienie, ponieważ albo inicjują zastosowanie ujawnienia, albo umożliwiają automatyczne obliczenie ujawnienia. Jeśli żółte komórki nie są wykorzystywane do obliczenia wartości, ujawniana suma może zostać wprowadzona ręcznie, nadpisując formułę. </t>
  </si>
  <si>
    <t>Indica que o dado (frequentemente uma condição) não será incluído no relatório VSME e no relatório digital XBRL. Estas células são fornecidas para facilitar a conclusão da divulgação, pois ou acionam a aplicabilidade da divulgação ou permitem o cálculo automático da divulgação. Se as células amarelas não estiverem a ser utilizadas para calcular um valor, o total a ser reportado pode ser inserido manualmente, sobrescrevendo a fórmula.</t>
  </si>
  <si>
    <t>Označuje, da podatkovna točka (pogosto pogoj) ne bo vključena v poročilo VSME in digitalno poročilo XBRL. Ta polja so namenjene lažjemu izpolnjevanju razkritja, saj bodisi sprožijo primernost razkritja bodisi omogočajo samodejni izračun razkritja. Če se rumena polja ne uporabljajo za izračun vrednosti, se lahko skupni znesek, ki ga je treba razkriti, vnese ročno in prepiše s formulo.</t>
  </si>
  <si>
    <t xml:space="preserve">Indica que el punto de datos (a menudo una condición) no se incluirá en el informe VSME y en el informe digital XBRL. Estas celdas se proporcionan para facilitar la cumplimentación de la divulgación, ya que activan la aplicabilidad de la divulgación o permiten el cálculo automático de la misma. Si las celdas amarillas no se utilizan para calcular un valor, el total que se debe informar puede introducirse manualmente, sobrescribiendo la fórmula. 
</t>
  </si>
  <si>
    <t>template_label_indicates_that_no_data_entry_is_required_unless_certain_logics_are_selected_in_the_disclosure_itself</t>
  </si>
  <si>
    <t>Indicates that no data entry is required unless certain logics are selected in the disclosure itself. When one of these logics is selected, then this cell will turn white.</t>
  </si>
  <si>
    <t>Angiver, at dataindtastning ikke er nødvendig, medmindre visse logikker vælges i selve oplysningen. Når en af disse logikker vælges, bliver cellen hvid</t>
  </si>
  <si>
    <t>Geeft aan dat geen gegevensinvoer vereist is tenzij bepaalde rekenregels in de  rapportage zelf worden geselecteerd. Wanneer een van deze rekenregels wordt geselecteerd, wordt deze cel wit.</t>
  </si>
  <si>
    <t xml:space="preserve">Indique qu'aucune donnée n'est à saisir à moins que certains éléments soient sélectionnés dans l'information elle-même. Dans ce cas, la cellule deviendra blanche. </t>
  </si>
  <si>
    <t>Bedeutet, dass keine Dateneingabe erforderlich ist, es sei denn, bestimmte Logiken (z.B. "falls zutreffend") werden in der Angabe selbst ausgewählt. Wenn eine dieser Logiken ausgewählt wird, wird diese Zelle weiß.</t>
  </si>
  <si>
    <t>Tugann sé le fios nach bhfuil aon iontráil sonraí ag teastáil mura roghnaítear loighic áirithe sa nochtadh féin. Nuair a roghnaítear ceann de na loighicí seo, casfaidh an chill seo bán.</t>
  </si>
  <si>
    <t>Indica che non è richiesto alcun inserimento di dati a meno che nella stessa informativa non vengano selezionate determinate logiche. Quando una di queste logiche viene selezionata, allora questa cella diventerà bianca.</t>
  </si>
  <si>
    <t>Nurodo, kad duomenų įvestis nereikalinga, nebent pačiame atskleidime pasirenkamos tam tikros loginės sąlygos. Pasirinkus vieną iš jų, šis langelis taps baltas.</t>
  </si>
  <si>
    <t>Wskazuje, że nie jest wymagane wprowadzanie danych, chyba że w samym ujawnieniu wybrane zostaną określone formuły logiczne. Gdy jedna z tych formuł logicznych zostanie wybrana, to pole zmieni kolor na biały.</t>
  </si>
  <si>
    <t>Indica que não é necessário inserir dados, a menos que certas lógicas sejam selecionadas na própria divulgação. Quando uma dessas lógicas é selecionada, esta célula ficará branca.</t>
  </si>
  <si>
    <t>Označuje, da vnos podatkov ni potreben, razen če so v samem razkritju izbrane določene logike. Ko je izbrana ena od teh logik, se ta polje obarva belo.</t>
  </si>
  <si>
    <t>Indica que no se requiere ninguna entrada de datos a menos que se seleccionen ciertas lógicas en la propia divulgación. Cuando se selecciona una de estas lógicas, entonces esta celda se pondrá blanca.</t>
  </si>
  <si>
    <t>template_label_validation_missing_value_error_velue_inconsistency_invalid_url</t>
  </si>
  <si>
    <t>Validation MISSING VALUE/ERROR/VALUE INCONSISTENCY/INVALID URL</t>
  </si>
  <si>
    <t>Validering MANGLENDE VÆRDI/FEJL/UOVERENSSTEMMELSE I VÆRDI/UGYLDIG URL</t>
  </si>
  <si>
    <t>Validatie MISSENDE WAARDE/FOUT/WAARDE-INCONSISTENTIE/ONGELDIGE URL</t>
  </si>
  <si>
    <t>Validation VALEUR MANQUANTE/ERREUR/VALEUR INCOHERENTE/URL NON VALIDE</t>
  </si>
  <si>
    <t>Validierung FEHLENDER WERT/FEHLER/INKONSISTENTER WERT/UNGÜLTIGE URL</t>
  </si>
  <si>
    <t>Bailíochtú LUACH IN EASNAMH/BOTÚN/NEAMHRÉIREACHT LUACHA/URL NEAMHBHAILÍ</t>
  </si>
  <si>
    <t>Validazione VALORE MANCANTE/ERRORE/INCOERENZA DI VALORE/URL NON VALIDO</t>
  </si>
  <si>
    <t xml:space="preserve">Patikrinimas TRŪKSTAMA REIKŠMĖ/KLAIDA/REIKŠMIŲ NESUTAPIMAS/NETEISINGAS URL </t>
  </si>
  <si>
    <t>Walidacja BRAK WARTOŚCI/ BŁĄD/ NIESPÓJNOŚĆ WARTOŚCI/ NIEPRAWIDŁOWY ADRES URL</t>
  </si>
  <si>
    <t>Validação VALOR EM FALTA/ERRO/INCONSISTÊNCIA DE VALOR/URL INVÁLIDO</t>
  </si>
  <si>
    <t>Preverjanje MANJKAJOČA VREDNOST/NAPAKA/NEKONSISTENTNA VREDNOST/NEVELJAVEN URL</t>
  </si>
  <si>
    <t>Validación VALOR NO INFORMADO/ERROR/INCONSISTENCIA DE VALOR/URL INVÁLIDA</t>
  </si>
  <si>
    <t>template_label_indicates_that_either_data_entry_is_incorrect_in_terms_of_format_or_that_certain_information</t>
  </si>
  <si>
    <t>Indicates that either data entry is incorrect in terms of format or that certain information is missing in order to correctly report on the disclosure.</t>
  </si>
  <si>
    <t>Angiver, at dataindtastningen enten er forkert i forhold til format, eller at visse oplysninger mangler for at kunne rapportere korrekt.</t>
  </si>
  <si>
    <t>Geeft aan dat de gegevensinvoer ofwel onjuist is qua formaat, of dat bepaalde informatie ontbreekt om correct te kunnen rapporteren.</t>
  </si>
  <si>
    <t>Indique soit que les données sont saisies dans un format incorrect, soit que certaines informations manquent pour pouvoir correctement remplir les exigences de publication.</t>
  </si>
  <si>
    <t>Bedeutet, dass entweder die Dateneingabe im Hinblick auf das Format fehlerhaft ist oder dass bestimmte Informationen fehlen, um die Angabe korrekt zu erfassen.</t>
  </si>
  <si>
    <t>Tugann sé le fios go bhfuil iontráil sonraí mícheart ó thaobh na formáide de nó go bhfuil faisnéis áirithe in easnamh chun tuairisciú ceart a dhéanamh ar an nochtadh.</t>
  </si>
  <si>
    <t>Indica che l'inserimento dei dati è errato in termini di formato oppure che mancano alcune informazioni necessarie per una corretta rendicontazione dell'informativa.</t>
  </si>
  <si>
    <t>Nurodo, kad duomenų įvedimas yra neteisingas (neatitinka formato reikalavimų) arba trūksta tam tikros informacijos, būtinos tinkamai pateikti atskleidimą.</t>
  </si>
  <si>
    <t>Wskazuje, że wpisane dane są niepoprawne pod względem formatu lub brakuje pewnych informacji, aby prawidłowo sporządzić sprawozdanie dotyczący ujawnienia.</t>
  </si>
  <si>
    <t xml:space="preserve">Indica que a introdução dos dados está incorreta em termos de formato ou que faltam certas informações para relatar corretamente a divulgação. 
</t>
  </si>
  <si>
    <t>Označuje, da je vnos podatkov napačni obliki ali da manjkajo določene informacije za pravilno poročanje informacij.</t>
  </si>
  <si>
    <t>Indica que la entrada de datos es incorrecta en cuanto al formato o que falta cierta información para informar correctamente sobre la divulgación.</t>
  </si>
  <si>
    <t>template_label_validation_ok</t>
  </si>
  <si>
    <t>Validering OK</t>
  </si>
  <si>
    <t>Validatie OK</t>
  </si>
  <si>
    <t>Validierung OK</t>
  </si>
  <si>
    <t>Bailíochtú ceart go leor</t>
  </si>
  <si>
    <t>Validazione OK</t>
  </si>
  <si>
    <t>Patvirtinimas GERAI</t>
  </si>
  <si>
    <t>Walidacja OK</t>
  </si>
  <si>
    <t>Validação OK</t>
  </si>
  <si>
    <t>Preverjanje OK</t>
  </si>
  <si>
    <t>Validación correcta</t>
  </si>
  <si>
    <t>template_label_indicates_that_data_entry_is_ok_and_the_undertaking_can_proceed_to_the_next_disclosure</t>
  </si>
  <si>
    <t>Indicates that data entry is OK and the undertaking can proceed to the next disclosure.</t>
  </si>
  <si>
    <t>Angiver, at dataindtastningen er korrekt, og virksomheden kan gå videre til næste oplysning.</t>
  </si>
  <si>
    <t xml:space="preserve">Geeft aan dat de gegevensinvoer in orde is en dat de onderneming kan doorgaan naar  het volgende rapportagevereiste. 
</t>
  </si>
  <si>
    <t>Indique que la saisie des données est OK et que l'entreprise peut passer à la divulgation suivante.</t>
  </si>
  <si>
    <t>Bedeutet, dass die Dateneingabe in Ordnung ist und das Unternehmen mit der nächsten Angabe fortfahren kann.</t>
  </si>
  <si>
    <t>Tugann sé le fios go bhfuil iontráil sonraí ceart go leor agus gur féidir leis an ngnóthas dul ar aghaidh go dtí an chéad nochtadh eile.</t>
  </si>
  <si>
    <t>Indica che l'immissione dei dati è corretta e l'impresa può procedere con la successiva informativa.</t>
  </si>
  <si>
    <t>Nurodo, kad duomenų įvedimas yra teisingas ir įmonė gali toliau tęsti atskleidimą.</t>
  </si>
  <si>
    <t>Wskazuje, że wprowadzenie danych jest poprawne, a jednostka może przejść do kolejnego ujawnienia.</t>
  </si>
  <si>
    <t xml:space="preserve">Indica que a introdução dos dados está correta e que a empresa pode avançar para a próxima divulgação.
</t>
  </si>
  <si>
    <t>Označuje, da je vnos podatkov v redu in da lahko podjetje nadaljuje z naslednjim razkritjem.</t>
  </si>
  <si>
    <t>Indica que la entrada de datos es correcta y que la empresa puede proceder a la siguiente divulgación.</t>
  </si>
  <si>
    <t>template_label_validation_classified_or_sensitive_information</t>
  </si>
  <si>
    <t>Validation CLASSIFIED OR SENSITIVE INFORMATION</t>
  </si>
  <si>
    <t>Validering KLASSIFICEREDE ELLER FØLSOMME OPLYSNINGER</t>
  </si>
  <si>
    <t>Validatie GECLASSIFICEERDE OF GEVOELIGE INFORMATIE</t>
  </si>
  <si>
    <t>Validation INFORMATIONS CLASSIFIÉES OU SENSIBLES</t>
  </si>
  <si>
    <t>Validierung KLASSIFIZIERTE ODER SENSIBLE INFORMATIONEN</t>
  </si>
  <si>
    <t>Bailíochtú FAISNÉIS RÚNAICMITHE NÓ ÍOGAIR</t>
  </si>
  <si>
    <t>Validazione INFORMAZIONI CLASSIFICATE O SENSIBILI</t>
  </si>
  <si>
    <t>Patvirtinimas ĮSLAPTINTA ARBA NESKELBTINA INFORMACIJA</t>
  </si>
  <si>
    <t>Walidacja INFORMACJE TAJNE LUB WRAŻLIWE</t>
  </si>
  <si>
    <t>Validação INFORMAÇÕES CLASSIFICADAS OU SENSÍVEIS</t>
  </si>
  <si>
    <t>Ovrednotenje ZAUPNIH ALI OBČUTLJIVIH INFORMACIJ</t>
  </si>
  <si>
    <t>Validación INFORMACIÓN CLASIFICADA O SENSIBLE</t>
  </si>
  <si>
    <t>template_label_indicates_that_the_undertaking_has_omitted_the_data_entry_as_it_is_deemed_to_be_classified_or_sensitive_information</t>
  </si>
  <si>
    <t>Indicates that the undertaking has omitted the data entry as it is deemed to be classified or sensitive information.</t>
  </si>
  <si>
    <t>Indikerer, at projektet har udeladt dataindtastningen, da den anses for at være klassificeret eller følsomme oplysninger.</t>
  </si>
  <si>
    <t>Geeft aan dat de onderneming de gegevensinvoer heeft weggelaten omdat deze als geclassificeerde of gevoelige informatie wordt beschouwd.</t>
  </si>
  <si>
    <t>Indique que l’engagement a omis la saisie de données car elle est considérée comme classifiée ou sensible.</t>
  </si>
  <si>
    <t>Zeigt an, dass das Unternehmen die Dateneingabe ausgelassen hat, da diese als klassifizierte oder sensible Informationen gelten.</t>
  </si>
  <si>
    <t>Cuirtear in iúl gur fhág an gnóthas an iontráil sonraí ar lár toisc go meastar gur faisnéis rúnaicmithe nó íogair í.</t>
  </si>
  <si>
    <t>Indica che l'impegno ha omesso l'inserimento dati in quanto considerato classificato o informazioni sensibili.</t>
  </si>
  <si>
    <t>Nurodoma, kad įmonė neįvedė duomenų, nes jie laikomi įslaptinta arba neskelbtina informacija.</t>
  </si>
  <si>
    <t>Wskazuje, że zobowiązanie pominęło wprowadzanie danych, ponieważ uznaje się je za informacje tajne lub wrażliwe.</t>
  </si>
  <si>
    <t>Indica que o compromisso omitiu a entrada de dados, pois é considerada informação classificada ou sensível.</t>
  </si>
  <si>
    <t>Označuje, da je podjetje izpustilo vnos podatkov, ker se štejejo za tajne ali občutljive informacije.</t>
  </si>
  <si>
    <t>Indica que el compromiso ha omitido la entrada de datos ya que se considera información clasificada o sensible.</t>
  </si>
  <si>
    <t>template_label_no_value_can_be_entered_in_the_cell</t>
  </si>
  <si>
    <t>No value can be entered in the cell.</t>
  </si>
  <si>
    <t>Der kan ikke indtastes nogen værdi i cellen.</t>
  </si>
  <si>
    <t>Er kan geen waarde in de cel worden ingevoerd.</t>
  </si>
  <si>
    <t>Aucune valeur ne peut être saisie dans la cellule.</t>
  </si>
  <si>
    <t>In diese Zelle kann kein Wert eingegeben werden.</t>
  </si>
  <si>
    <t>Ní féidir aon luach a iontráil sa chill.</t>
  </si>
  <si>
    <t>Non è possibile inserire alcun valore nella cella.</t>
  </si>
  <si>
    <t>Į langelį negalima įvesti jokios reikšmės.</t>
  </si>
  <si>
    <t>W komórce nie można wprowadzić żadnej wartości.</t>
  </si>
  <si>
    <t>Nenhum valor pode ser inserido na célula.</t>
  </si>
  <si>
    <t>V polje ni mogoče vnesti nobene vrednosti.</t>
  </si>
  <si>
    <t>No se puede introducir ningún valor en la celda.</t>
  </si>
  <si>
    <t>template_label_lists_can_be_expanded_using_the_plus_button_on_the_left</t>
  </si>
  <si>
    <t>Lists can be expanded using the plus [+] button on the left. If the number of rows is not sufficient, additional rows can be added by right clicking the second row and selecting "Insert row".</t>
  </si>
  <si>
    <t>Lister kan udvides ved hjælp af plustegnet [+] til venstre. Hvis antallet af rækker ikke er tilstrækkeligt, kan der tilføjes ekstra rækker ved at højreklikke på anden række og vælge "Indsæt række".</t>
  </si>
  <si>
    <t>Lijsten kunnen worden uitgebreid  door de plus [+] knop aan de linkerkant te gebruiken. Als het aantal rijen niet voldoende is, kunnen extra rijen worden toegevoegd door met de rechtermuisknop op de tweede rij te klikken en "Rij invoegen" te selecteren.</t>
  </si>
  <si>
    <t>Les listes peuvent être déroulées à l’aide du bouton plus [+] situé à gauche. Si le nombre de lignes n’est pas suffisant, des lignes supplémentaires peuvent être ajoutées en cliquant avec le bouton droit sur la deuxième ligne et en sélectionnant « Insérer une ligne ».</t>
  </si>
  <si>
    <t>Listen können mit der Plus [+] Taste links erweitert werden. Wenn die Anzahl der Zeilen nicht ausreicht, können weitere Zeilen hinzugefügt werden, indem man mit der rechten Maustaste auf die zweite Zeile klickt und „Zeile einfügen“ auswählt.</t>
  </si>
  <si>
    <t>Is féidir liostaí a leathnú ag baint úsáide as an gcnaipe móide [+] ar chlé. Mura leor líon na sraitheanna, is féidir sraitheanna breise a chur leis trí chliceáil ar dheis ar an dara sraith agus "Ionsáigh as a chéile" a roghnú.</t>
  </si>
  <si>
    <t>Le liste possono essere espanse utilizzando il pulsante più [+] a sinistra. Se il numero di righe non è sufficiente, è possibile aggiungere ulteriori righe facendo clic con il tasto destro sulla seconda riga e selezionando "Inserisci riga".</t>
  </si>
  <si>
    <t xml:space="preserve">Sąrašus galima išplėsti paspaudžiant kairėje esantį pliuso žymeklį [+]. Jei eilučių skaičius nepakankamas, papildomos eilutės gali būti įterpiamos dešiniuoju pelės mygtuku paspaudus antrą eilutę ir pasirinkus „Įterpti eilutę“.
</t>
  </si>
  <si>
    <t>Listy można rozwijać, używając przycisku plus [+] po lewej stronie. Jeśli liczba wierszy jest niewystarczająca, można dodać dodatkowe wiersze, klikając prawym przyciskiem myszy drugi wiersz i wybierając "Wstaw wiersz".</t>
  </si>
  <si>
    <t xml:space="preserve">As the exact sentence "Lists can be expanded using the plus [+] button on the left. If the number of rows is not sufficient, additional rows can be added by right clicking the second row and selecting "Insert row"." is not found exactly in the uploaded English or Portuguese files, I will create a Portuguese translation that is consistent with the terminology and style from the files.
Translation:
"As listas podem ser expandidas utilizando o botão de mais [+] à esquerda. Se o número de linhas não for suficiente, linhas adicionais podem ser inseridas clicando com o botão direito na segunda linha e selecionando 'Inserir linha'."
</t>
  </si>
  <si>
    <t>Sezname lahko razširite z gumbom plus [+] na levi. Če število vrstic ni zadostno, lahko dodate dodatne vrstice tako, da z desno miškino tipko kliknete drugo vrstico in izberete »Vstavi vrstico«.</t>
  </si>
  <si>
    <t>Las listas se pueden expandir utilizando el botón más [+] situado a la izquierda. Si el número de filas no es suficiente, se pueden añadir filas adicionales haciendo clic con el botón derecho en la segunda fila y seleccionando "Insertar fila".</t>
  </si>
  <si>
    <t>template_label_efrag_is_funded_by_the_european_union_through_the_single_market_programme</t>
  </si>
  <si>
    <t>EFRAG is funded by the European Union through the Single Market Programme in which the EEA-EFTA countries (Norway, Iceland and Liechtenstein), as well as Kosovo participate. Any views and opinions expressed are however those of the author(s) only and do not necessarily reflect those of the European Union, the European Commission or of countries that participate in the Single Market Programme. Neither the European Union, the European Commission nor countries participating in the Single market Programme can be held responsible for them. © 2025 EFRAG All rights reserved.</t>
  </si>
  <si>
    <t>EFRAG finansieres af Den Europæiske Union gennem programmet for Det Indre Marked, som også omfatter EØS-EFTA-landene (Norge, Island og Liechtenstein) samt Kosovo. Enhver holdning og udtalelse, der kommer til udtryk, er dog udelukkende forfatternes og afspejler ikke nødvendigvis Den Europæiske Unions, Europa-Kommissionens eller de deltagende landes synspunkter. Hverken Den Europæiske Union, Europa-Kommissionen eller de deltagende lande kan gøres ansvarlige herfor.
© 2025 EFRAG. Alle rettigheder forbeholdes.</t>
  </si>
  <si>
    <t xml:space="preserve">EFRAG wordt gefinancierd door de Europese Unie via het programma voor de interne markt waaraan de EER-EVA-landen (Noorwegen, IJsland en Liechtenstein) evenals Kosovo deelnemen. Eventuele standpunten en meningen die worden geuit zijn echter uitsluitend die van de auteur(s) en weerspiegelen niet noodzakelijkerwijs die van de Europese Unie, de Europese Commissie of van de landen die deelnemen aan het programma voor de interne markt. Noch de Europese Unie, noch de Europese Commissie, noch de landen die deelnemen aan het programma voor de interne markt kunnen hiervoor aansprakelijk worden gesteld. © 2025 EFRAG Alle rechten voorbehouden. 
</t>
  </si>
  <si>
    <t xml:space="preserve">L'EFRAG est financée par l'Union européenne dans le cadre du Programme pour le marché unique, auquel participent également les pays de l'EEE-AELE (Norvège, Islande et Liechtenstein), ainsi que le Kosovo. Les opinions et points de vue exprimés sont toutefois ceux de l’auteur ou des auteurs uniquement et ne reflètent pas nécessairement ceux de l'Union européenne, de la Commission européenne ou des pays participant au Programme pour le marché unique. Ni l'Union européenne, ni la Commission européenne, ni les pays participants au Programme pour le marché unique ne peuvent en être tenus responsables. © 2025 EFRAG – Tous droits réservés.
</t>
  </si>
  <si>
    <t xml:space="preserve">EFRAG wird von der Europäischen Union im Rahmen des Binnenmarktprogramms finanziert, an dem auch die EWR-EFTA-Länder (Norwegen, Island und Liechtenstein) sowie Kosovo teilnehmen. Die geäußerten Ansichten und Meinungen sind jedoch ausschließlich die der Autor(en) und spiegeln nicht notwendigerweise die der Europäischen Union, der Europäischen Kommission oder der an dem Binnenmarktprogramm teilnehmenden Länder wider. Weder die Europäische Union, die Europäische Kommission noch die an dem Binnenmarktprogramm teilnehmenden Länder können hierfür verantwortlich gemacht werden. © 2025 EFRAG Alle Rechte vorbehalten. 
</t>
  </si>
  <si>
    <t>Faigheann EFRAG maoiniú ón Aontas Eorpach trí Chlár an Mhargaidh Aonair ina bhfuil tíortha LEE-CSTE (an Iorua, an Íoslainn agus Lichtinstéin), chomh maith leis an gCosaiv. Mar sin féin, is tuairimí agus tuairimí an údair amháin iad aon tuairimí a chuirtear in iúl, áfach, agus ní gá go léiríonn siad tuairimí an Aontais Eorpaigh, an Choimisiúin Eorpaigh nó na dtíortha a ghlacann páirt i gClár an Mhargaidh Aonair. Ní féidir an tAontas Eorpach, an Coimisiún Eorpach ná tíortha atá rannpháirteach i gClár an Mhargaidh Aonair a bheith freagrach astu. © 2025 EFRAG Gach ceart ar cosaint.</t>
  </si>
  <si>
    <t>EFRAG è finanziata dall'Unione Europea attraverso il Programma per il Mercato Unico, al quale partecipano anche i paesi SEE-SEEFTA (Norvegia, Islanda e Liechtenstein), nonché il Kosovo. Le opinioni e i punti di vista espressi sono tuttavia soltanto quelli dell'autore o degli autori e non riflettono necessariamente quelli dell'Unione Europea, della Commissione Europea o dei paesi che partecipano al Programma per il Mercato Unico. Né l'Unione Europea, né la Commissione Europea, né i paesi partecipanti al Programma per il Mercato Unico possono essere ritenuti responsabili per queste opinioni. © 2025 EFRAG Tutti i diritti riservati.</t>
  </si>
  <si>
    <t>EFRAG finansuojama Europos Sąjungos pagal Vieningos rinkos programą, kurioje taip pat dalyvauja EEE–ELPA šalys (Norvegija, Islandija ir Lichtenšteinas) bei Kosovas. Tačiau visos pateikiamos nuomonės ir požiūriai yra tik autoriaus (-ių) ir nebūtinai atspindi Europos Sąjungos, Europos Komisijos ar valstybių, dalyvaujančių Vieningos rinkos programoje, poziciją. Nei Europos Sąjunga, nei Europos Komisija, nei valstybės, dalyvaujančios Vieningos rinkos programoje, negali būti laikomos už jas atsakingomis.
© 2025 EFRAG. Visos teisės saugomos.</t>
  </si>
  <si>
    <t>EFRAG jest finansowany przez Unię Europejską w ramach Programu Jednolitego Rynku, w którym uczestniczą kraje EOG-EFTA (Norwegia, Islandia i Liechtenstein), a także Kosowo. Jakiekolwiek wyrażone opinie są jednak wyłącznie opiniami autora(ów) i niekoniecznie odzwierciedlają stanowisko Unii Europejskiej, Komisji Europejskiej ani krajów uczestniczących w Programie Jednolitego Rynku. Ani Unia Europejska, ani Komisja Europejska, ani kraje uczestniczące w Programie Jednolitego Rynku nie mogą być za nie pociągane do odpowiedzialności. © 2025 EFRAG Wszelkie prawa zastrzeżone.</t>
  </si>
  <si>
    <t>A EFRAG é financiada pela União Europeia através do Programa do Mercado Único, do qual participam os países do EEE-AEFA (Noruega, Islândia e Liechtenstein), bem como o Kosovo. Quaisquer opiniões expressas são, contudo, apenas dos autores e não refletem necessariamente as da União Europeia, da Comissão Europeia ou dos países que participam no Programa do Mercado Único. Nem a União Europeia, nem a Comissão Europeia, nem os países participantes do Programa do Mercado Único podem ser responsabilizados por essas opiniões. © 2025 EFRAG Todos os direitos reservados.</t>
  </si>
  <si>
    <t>EFRAG financira Evropska unija prek programa za enotni trg, v katerem sodelujejo države EEA-EFTA (Norveška, Islandija in Lihtenštajn) ter Kosovo. Vsa izražena stališča in mnenja pa so zgolj stališča avtorja(-jev) in ne odražajo nujno stališč Evropske unije, Evropske komisije ali držav, ki sodelujejo v programu za enotni trg. Niti Evropska unija, Evropska komisija niti države, ki sodelujejo v programu za enotni trg, ne morejo biti odgovorne zanje. © 2025 EFRAG Vse pravice pridržane.</t>
  </si>
  <si>
    <t>EFRAG está financiado por la Unión Europea a través del Programa de Mercado Único en el que participan los países EEE-EFTA (Noruega, Islandia y Liechtenstein), así como Kosovo. Sin embargo, las opiniones y puntos de vista expresados son únicamente los del autor o autores y no reflejan necesariamente los de la Unión Europea, la Comisión Europea ni los de los países que participan en el Programa de Mercado Único. Ni la Unión Europea, ni la Comisión Europea ni los países participantes en el Programa de Mercado Único pueden ser considerados responsables de ellos. © 2025 EFRAG Todos los derechos reservados.</t>
  </si>
  <si>
    <t>template_label_reproduction_and_use_rights_are_strictly_limited</t>
  </si>
  <si>
    <t>Reproduction and use rights are strictly limited. For further details please contact efragsecretariat@efrag.org</t>
  </si>
  <si>
    <t>Reproduktions- og brugsrettigheder er strengt begrænsede. For yderligere oplysninger bedes du kontakte efragsecretariat@efrag.org</t>
  </si>
  <si>
    <t xml:space="preserve">Reproductie- en gebruiksrechten zijn strikt beperkt. Voor meer informatie kunt u contact opnemen met efragsecretariat@efrag.org
</t>
  </si>
  <si>
    <t>Les droits de reproduction et d'utilisation sont strictement limités. Pour plus de détails, veuillez contacter efragsecretariat@efrag.org</t>
  </si>
  <si>
    <t xml:space="preserve">Die Vervielfältigungs- und Nutzungsrechte sind streng begrenzt. Für weitere Informationen wenden Sie sich bitte an efragsecretariat@efrag.org
</t>
  </si>
  <si>
    <t>Tá cearta atáirgthe agus úsáide teoranta go docht. Chun tuilleadh eolais a fháil, déan teagmháil le do thoil efragsecretariat@efrag.org</t>
  </si>
  <si>
    <t>Riproduzione e diritti d'uso sono severamente limitati. Per ulteriori dettagli, contattare efragsecretariat@efrag.org</t>
  </si>
  <si>
    <t xml:space="preserve">Reprodukcijos ir naudojimo teisės yra griežtai ribotos. Dėl išsamesnės informacijos kreipkitės el. paštu efragsecretariat@efrag.org
</t>
  </si>
  <si>
    <t>Prawa do powielania i wykorzystywania są ściśle ograniczone. W celu uzyskania dalszych informacji prosimy o kontakt pod adresem efragsecretariat@efrag.org.</t>
  </si>
  <si>
    <t xml:space="preserve">"Os direitos de reprodução e utilização são estritamente limitados. Para mais informações, contacte efragsecretariat@efrag.org" 
</t>
  </si>
  <si>
    <t>Pravice do reprodukcije in uporabe so strogo omejene. Za več podrobnosti se obrnite na efragsecretariat@efrag.org.</t>
  </si>
  <si>
    <t xml:space="preserve">Los derechos de reproducción y uso están estrictamente limitados. Para más detalles, por favor contacte a efragsecretariat@efrag.org
</t>
  </si>
  <si>
    <t>template_filling_sensitive_checkboxes</t>
  </si>
  <si>
    <t>Filling the checkboxes below will fill automatically the list of omitted disclosures in B1 (from row 123 to 172 within General Information sheet)</t>
  </si>
  <si>
    <t>Ved at udfylde afkrydsningsfelterne nedenfor udfyldes automatisk listen over udeladte oplysninger i B1 (fra række 123 til 172 i det generelle informationsark)</t>
  </si>
  <si>
    <t>Door de onderstaande selectievakjes in te vullen, vult automatisch de lijst met weggelaten meldingen in B1 (van rij 123 tot 172 in het algemene informatieblad) in.</t>
  </si>
  <si>
    <t>Remplir les cases ci-dessous remplira automatiquement la liste des divulgations omises dans B1 (de la ligne 123 à la 172 dans la fiche d’information générale)</t>
  </si>
  <si>
    <t>Das Ausfüllen der untenstehenden Kontrollkästchen füllt automatisch die Liste der ausgelassenen Offenlegungen in B1 (von Zeile 123 bis 172 im allgemeinen Informationsblatt) aus.</t>
  </si>
  <si>
    <t>Má líontar na boscaí seiceála thíos, líonfar go huathoibríoch liosta na nochtadh ar lár i B1 (ó shraith 123 go 172 laistigh den bhileog faisnéise ginearálta)</t>
  </si>
  <si>
    <t>Compilando le caselle di spunta qui sotto si riempirà automaticamente la lista delle dichiarazioni omesse in B1 (dalla riga 123 alla 172 all'interno del foglio informativo generale)</t>
  </si>
  <si>
    <t>Užpildžius toliau pateiktus žymimuosius langelius, automatiškai bus užpildytas praleistos informacijos sąrašas B1 (nuo 123 iki 172 eilutės Bendrosios informacijos lape)</t>
  </si>
  <si>
    <t>Wypełnienie poniższych pól automatycznie wypełni listę pominiętych ujawnień w formularzu B1 (od wiersza 123 do 172 w arkuszu informacji ogólnych)</t>
  </si>
  <si>
    <t>Preenchendo as caixas abaixo, a lista de divulgações omitidas no B1 (da linha 123 à 172 dentro da folha de Informações Gerais) será preenchida automaticamente</t>
  </si>
  <si>
    <t>Z izpolnjevanjem spodnjih polj se bo samodejno izpolnil seznam izpuščenih razkritij v B1 (od vrstice 123 do 172 v listu Splošne informacije)</t>
  </si>
  <si>
    <t>Rellenar las casillas de verificación a continuación se llenará automáticamente la lista de divulgaciones omitidas en B1 (de la fila 123 a la 172 dentro de la hoja de información general)</t>
  </si>
  <si>
    <t>template_label_overall_validation_status_validation</t>
  </si>
  <si>
    <t>Overall Validation Status</t>
  </si>
  <si>
    <t>Samlet valideringsstatus</t>
  </si>
  <si>
    <t>Algemene validatiestatus</t>
  </si>
  <si>
    <t xml:space="preserve">Statut global de validation
</t>
  </si>
  <si>
    <t>Gesamtstatus der Validierung</t>
  </si>
  <si>
    <t>Stádas Foriomlán Bailíochtaithe</t>
  </si>
  <si>
    <t>Stato complessivo di convalida</t>
  </si>
  <si>
    <t>Bendras patikrinimo statusas</t>
  </si>
  <si>
    <t>Ogólny status walidacji</t>
  </si>
  <si>
    <t>Estado Global da Validação</t>
  </si>
  <si>
    <t>Splošno stanje validacije</t>
  </si>
  <si>
    <t>Estado general de validación</t>
  </si>
  <si>
    <t>template_label_table_of_contents_validation</t>
  </si>
  <si>
    <t>Indholdsfortegnelse</t>
  </si>
  <si>
    <t>Inhoudsopgave</t>
  </si>
  <si>
    <t>Clár Ábhair</t>
  </si>
  <si>
    <t>template_classified_or_sensitive_information</t>
  </si>
  <si>
    <t>Classified or sensitive information</t>
  </si>
  <si>
    <t>Klassificerede eller følsomme oplysninger</t>
  </si>
  <si>
    <t>Geheime of gevoelige informatie</t>
  </si>
  <si>
    <t>Informations classifiées ou sensibles</t>
  </si>
  <si>
    <t>Geheime oder sensible Informationen</t>
  </si>
  <si>
    <t>Geheime oder sensible Information</t>
  </si>
  <si>
    <t>Informazioni classificate o sensibili</t>
  </si>
  <si>
    <t>Įslaptinta arba neskelbtina informacija</t>
  </si>
  <si>
    <t>Informacje tajne lub wrażliwe</t>
  </si>
  <si>
    <t>Informações classificadas ou sensíveis</t>
  </si>
  <si>
    <t>Zaupne ali občutljive informacije</t>
  </si>
  <si>
    <t>Información clasificada o sensible</t>
  </si>
  <si>
    <t>template_label_contents_grouping_follows_templates_framework_validation</t>
  </si>
  <si>
    <t>Contents grouping follows template's framework</t>
  </si>
  <si>
    <t>Gruppering af indhold følger skabelonens ramme</t>
  </si>
  <si>
    <t xml:space="preserve">Inhoudsgroepering volgt het raamwerk van de template
</t>
  </si>
  <si>
    <t>Le regroupement des contenus suit le cadre du format</t>
  </si>
  <si>
    <t>Die Gruppierung der Inhalte folgt dem Aufbau der VSME-Vorlage</t>
  </si>
  <si>
    <t>Leanann grúpáil ábhair creatlach an teimpléid</t>
  </si>
  <si>
    <t>Il raggruppamento dei contenuti segue il quadro del modello</t>
  </si>
  <si>
    <t>Turinio grupavimas atitinka šablono struktūrą</t>
  </si>
  <si>
    <t>Grupowanie treści jest zgodne ze strukturą szablonu</t>
  </si>
  <si>
    <t>Agrupamento de conteúdos segue a estrutura do modelo</t>
  </si>
  <si>
    <t>Združevanje vsebin v skupine sledi strukturi predloge</t>
  </si>
  <si>
    <t>La agrupación de contenidos sigue el marco del modelo</t>
  </si>
  <si>
    <t>template_label_specific_content_validation_status_validation</t>
  </si>
  <si>
    <t>Specific Content Validation Status</t>
  </si>
  <si>
    <t xml:space="preserve">Valideringsstatus for indhold </t>
  </si>
  <si>
    <t xml:space="preserve">Validatiestatus van specifieke inhoud </t>
  </si>
  <si>
    <t>Statut de validation du contenu spécifique</t>
  </si>
  <si>
    <t>Spezifischer Validierungsstatus des Inhalts</t>
  </si>
  <si>
    <t>Stádas Bailíochtaithe Ábhair Sonrach</t>
  </si>
  <si>
    <t>Stato di convalida specifico del contenuto</t>
  </si>
  <si>
    <t>Specifinė turinio tikrinimo būsena</t>
  </si>
  <si>
    <t>Status walidacji konkretnej treści</t>
  </si>
  <si>
    <t>Estado de Validação de Conteúdo Específico</t>
  </si>
  <si>
    <t>Stanje preverjanja specifične vsebine</t>
  </si>
  <si>
    <t>Estado de Validación de Contenido Específico</t>
  </si>
  <si>
    <t>template_label_general_information_validation</t>
  </si>
  <si>
    <t>General Information</t>
  </si>
  <si>
    <t>Generel information</t>
  </si>
  <si>
    <t xml:space="preserve">Algemene informatie
</t>
  </si>
  <si>
    <t>Informations générales</t>
  </si>
  <si>
    <t xml:space="preserve">Allgemeine Informationen
</t>
  </si>
  <si>
    <t>Eolas Ginearálta</t>
  </si>
  <si>
    <t xml:space="preserve">Informazioni generali
</t>
  </si>
  <si>
    <t>Bendroji informacija</t>
  </si>
  <si>
    <t>Informacje ogólne</t>
  </si>
  <si>
    <t xml:space="preserve">Informação Geral
</t>
  </si>
  <si>
    <t>Splošne informacije</t>
  </si>
  <si>
    <t>Información general</t>
  </si>
  <si>
    <t>template_label_information_on_the_report_necessary_for_xbrl_validation</t>
  </si>
  <si>
    <t>Information on the report necessary for  XBRL</t>
  </si>
  <si>
    <t>Oplysninger i rapporten, der er nødvendige for XBRL</t>
  </si>
  <si>
    <t>Informatie over het rapport die noodzakelijk is voor XBRL</t>
  </si>
  <si>
    <t>Informations sur le rapport nécessaires pour XBRL</t>
  </si>
  <si>
    <t>Informationen über den Bericht, die für XBRL erforderlich sind</t>
  </si>
  <si>
    <t>Faisnéis maidir leis an tuarascáil is gá le haghaidh XBRL</t>
  </si>
  <si>
    <t>Informazioni sulla relazione necessarie per XBRL</t>
  </si>
  <si>
    <t>Informacija apie ataskaitą, reikalinga XBRL</t>
  </si>
  <si>
    <t>Informacje o sprawozdaniu niezbędne dla XBRL</t>
  </si>
  <si>
    <t>Informações no relatório necessárias para XBRL</t>
  </si>
  <si>
    <t>Informacije o poročilu, potrebne za XBRL</t>
  </si>
  <si>
    <t>Información del informe necesaria para XBRL</t>
  </si>
  <si>
    <t>template_label_information_on_previous_reporting_period_validation</t>
  </si>
  <si>
    <t>Information on previous reporting period</t>
  </si>
  <si>
    <t>Oplysninger om den foregående rapporteringsperiode</t>
  </si>
  <si>
    <t xml:space="preserve">
"Informatie over de vorige rapportageperiode "
</t>
  </si>
  <si>
    <t>Informations sur la période de reporting précédente</t>
  </si>
  <si>
    <t>Informationen zum vorherigen Berichtszeitraum</t>
  </si>
  <si>
    <t>Faisnéis maidir leis an tréimhse tuairiscithe roimhe seo</t>
  </si>
  <si>
    <t>Informazioni sul periodo di riferimento precedente</t>
  </si>
  <si>
    <t>Informacija apie ankstesnį ataskaitinį laikotarpį</t>
  </si>
  <si>
    <t>Informacje o poprzednim okresie sprawozdawczym</t>
  </si>
  <si>
    <t>Informação sobre o período de reporte anterior</t>
  </si>
  <si>
    <t>Podatki o preteklem poročevalskem obdobju</t>
  </si>
  <si>
    <t>Información sobre el periodo de reporte anterior</t>
  </si>
  <si>
    <t>template_label_basic_module_validation</t>
  </si>
  <si>
    <t>Module de base</t>
  </si>
  <si>
    <t>template_label_b1_basis_for_preparation_validation</t>
  </si>
  <si>
    <t>B1 - Basis for Preparation</t>
  </si>
  <si>
    <t>B1 – Grundlag for udarbejdelse</t>
  </si>
  <si>
    <t>B1 - Grondslag voor het opstellen van informatie</t>
  </si>
  <si>
    <t>B1 – Base de préparation</t>
  </si>
  <si>
    <t>B1 - Grundlagen für die Erstellung</t>
  </si>
  <si>
    <t>B1 - Bunús le haghaidh Ullmhúcháin</t>
  </si>
  <si>
    <t>B1 – Criteri per la redazione</t>
  </si>
  <si>
    <t>B1. Ataskaitos rengimo pagrindas</t>
  </si>
  <si>
    <t>B1 – Podstawa sporządzenia</t>
  </si>
  <si>
    <t>B1 — Base para a elaboração</t>
  </si>
  <si>
    <t>B1 - Osnova za pripravo</t>
  </si>
  <si>
    <t>B1 – Base para la elaboración</t>
  </si>
  <si>
    <t>template_label_b2_practices_policies_and_future_initiatives_for_transitioning_towards_a_more_sustainable_economy_validation</t>
  </si>
  <si>
    <t xml:space="preserve">B2 - Practices, policies and future initiatives for transitioning towards a more sustainable economy </t>
  </si>
  <si>
    <t xml:space="preserve">B2 - Praksisser, politikker og fremtidige initiativer for omstilling til en mere bæredygtig økonomi </t>
  </si>
  <si>
    <t xml:space="preserve">B2 — Praktijken, beleid en toekomstige initiatieven voor de transitie naar een duurzamere economie </t>
  </si>
  <si>
    <t xml:space="preserve">B2 – Pratiques, politiques et initiatives futures en vue de la transition vers une économie plus durable </t>
  </si>
  <si>
    <t xml:space="preserve">B2 - Verfahrensweisen, Richtlinien und künftige Initiativen für den Übergang zu einer nachhaltigeren Wirtschaft </t>
  </si>
  <si>
    <t xml:space="preserve">B2 - Cleachtais, beartais agus tionscnaimh amach anseo chun aistriú i dtreo geilleagar níos inbhuanaithe </t>
  </si>
  <si>
    <t xml:space="preserve">B2 - Pratiche, politiche e iniziative future per la transizione verso un'economia più sostenibile </t>
  </si>
  <si>
    <t xml:space="preserve">B2 - Praktikos, politikos ir būsimos iniciatyvos pereinant prie tvaresnės ekonomikos </t>
  </si>
  <si>
    <t xml:space="preserve">B2 – Praktyki, polityki i przyszłe inicjatywy na rzecz przejścia na bardziej zrównoważoną gospodarkę </t>
  </si>
  <si>
    <t xml:space="preserve">B2 — Práticas, políticas e iniciativas futuras para a transição para uma economia mais sustentável </t>
  </si>
  <si>
    <t>B2 - Prakse, politike in prihodnje pobude za prehod na bolj trajnostno gospodarstvo</t>
  </si>
  <si>
    <t xml:space="preserve">B2 – Prácticas, políticas e iniciativas futuras para la transición hacia una economía más sostenible </t>
  </si>
  <si>
    <t>template_label_environmental_disclosures_validation</t>
  </si>
  <si>
    <t>Environmental Disclosures</t>
  </si>
  <si>
    <t>Miljømæssige oplysninger</t>
  </si>
  <si>
    <t>Milieu-rapportage</t>
  </si>
  <si>
    <t>Informations environnementales</t>
  </si>
  <si>
    <t>Umweltangaben</t>
  </si>
  <si>
    <t>Nochtadh Comhshaoil</t>
  </si>
  <si>
    <t>Informative ambientali</t>
  </si>
  <si>
    <t>Aplinkosaugos atskleidimai</t>
  </si>
  <si>
    <t>Ujawnienia środowiskowe</t>
  </si>
  <si>
    <t>Divulgações Ambientais</t>
  </si>
  <si>
    <t>Okoljska razkritja</t>
  </si>
  <si>
    <t>Divulgaciones Ambientales</t>
  </si>
  <si>
    <t>template_label_b3_energy_and_greenhouse_gas_emissions_validation</t>
  </si>
  <si>
    <t>B3 - Energy and greenhouse gas emissions</t>
  </si>
  <si>
    <t xml:space="preserve">B3 - Energi og drivhusgasudledninger </t>
  </si>
  <si>
    <t>B3 - Energie en broeikasgasemissies</t>
  </si>
  <si>
    <t>B3 – Énergie et émissions de gaz à effet de serre</t>
  </si>
  <si>
    <t>B3 - Energie und Treibhausgasemissionen</t>
  </si>
  <si>
    <t>B3 - Fuinneamh agus astaíochtaí gás ceaptha teasa</t>
  </si>
  <si>
    <t>B3 - Energia ed emissioni di gas a effetto serra</t>
  </si>
  <si>
    <t>B3 – Energija ir šiltnamio efektą sukeliančios dujos</t>
  </si>
  <si>
    <t>B3 – Energia i emisje gazów cieplarnianych</t>
  </si>
  <si>
    <t>B3 — Energia e emissões de gases com efeito de estufa</t>
  </si>
  <si>
    <t>B3 - Energija in emisije toplogrednih plinov</t>
  </si>
  <si>
    <t>B3 - Energía y emisiones de gases de efecto invernadero</t>
  </si>
  <si>
    <t>template_label_b4_pollution_of_air_water_and_soil_validation</t>
  </si>
  <si>
    <t>B4 - Pollution of air, water and soil</t>
  </si>
  <si>
    <t>B4 – Forurening af luft, vand og jord</t>
  </si>
  <si>
    <t>B4 –  Verontreiniging van lucht, water en bodem</t>
  </si>
  <si>
    <t>B4 - Pollution de l’air, de l’eau et des sols</t>
  </si>
  <si>
    <t>B4 - Luft-, Wasser- und Bodenverschmutzung</t>
  </si>
  <si>
    <t>B4 - Truailliú aeir, uisce agus ithreach</t>
  </si>
  <si>
    <t>B4 – Inquinamento di aria, acqua e suolo</t>
  </si>
  <si>
    <t>B4. Oro, vandens ir dirvožemio tarša</t>
  </si>
  <si>
    <t>B4 – Zanieczyszczenie powietrza, wody i gleby</t>
  </si>
  <si>
    <t>B4 — Poluição do ar, da água e do solo</t>
  </si>
  <si>
    <t>B4 - Onesnaževanje zraka, vode in tal</t>
  </si>
  <si>
    <t>B4 – Contaminación de la atmósfera, del agua y del suelo</t>
  </si>
  <si>
    <t>template_label_b5_biodiversity_validation</t>
  </si>
  <si>
    <t>B5 - Biodiversity</t>
  </si>
  <si>
    <t>B5 – Biodiversitet</t>
  </si>
  <si>
    <t>B5 — Biodiversiteit</t>
  </si>
  <si>
    <t xml:space="preserve">B5 – Biodiversité
</t>
  </si>
  <si>
    <t>B5 - Biodiversität</t>
  </si>
  <si>
    <t>B5 - Bithéagsúlacht</t>
  </si>
  <si>
    <t>B5 – Biodiversità</t>
  </si>
  <si>
    <t xml:space="preserve">B5. Biologinė įvairovė
</t>
  </si>
  <si>
    <t>B5 – Bioróżnorodność</t>
  </si>
  <si>
    <t>B5 — Biodiversidade</t>
  </si>
  <si>
    <t>B5 - Biotska raznovrstnost</t>
  </si>
  <si>
    <t>B5 – Biodiversidad</t>
  </si>
  <si>
    <t>template_label_b6_water_validation</t>
  </si>
  <si>
    <t>B6 - Water</t>
  </si>
  <si>
    <t>B6 – Vand</t>
  </si>
  <si>
    <t>B6 — Water</t>
  </si>
  <si>
    <t>B6 – Eau</t>
  </si>
  <si>
    <t>B6 - Wasser</t>
  </si>
  <si>
    <t>B6 - Uisce</t>
  </si>
  <si>
    <t>B6 –   Acque</t>
  </si>
  <si>
    <t>B6 – Vanduo</t>
  </si>
  <si>
    <t>B6 – Woda</t>
  </si>
  <si>
    <t>B6 – Água</t>
  </si>
  <si>
    <t>B6 - Voda</t>
  </si>
  <si>
    <t>B6 – Agua</t>
  </si>
  <si>
    <t>template_label_b7_resource_use_circular_economy_and_waste_management_validation</t>
  </si>
  <si>
    <t>B7 - Resource use, circular economy and waste management</t>
  </si>
  <si>
    <t>B7 –   Ressourceforbrug, cirkulær økonomi og affaldshåndtering</t>
  </si>
  <si>
    <t>B7 — Gebruik van hulpbronnen, circulaire economie en afvalbeheer</t>
  </si>
  <si>
    <t>B7 - Utilisation des ressources, économie circulaire et gestion des déchets</t>
  </si>
  <si>
    <t>B7 - Ressourcennutzung, Kreislaufwirtschaft und Abfallwirtschaft</t>
  </si>
  <si>
    <t>B7 - Úsáid acmhainní, geilleagar ciorclach agus bainistiú dramhaíola</t>
  </si>
  <si>
    <t>B7 – Uso delle risorse, economia circolare e gestione dei rifiuti</t>
  </si>
  <si>
    <t>B7 - Išteklių naudojimas, žiedinė ekonomika ir atliekų tvarkymas</t>
  </si>
  <si>
    <t>B7 – Wykorzystanie zasobów, gospodarka o obiegu zamkniętym i gospodarowanie odpadami</t>
  </si>
  <si>
    <t>B7 - Utilização dos recursos, economia circular e gestão de resíduos</t>
  </si>
  <si>
    <t>B7 - Raba virov, krožno gospodarstvo in ravnanje z odpadki</t>
  </si>
  <si>
    <t>B7 - Uso de los recursos, economía circular y gestión de residuos</t>
  </si>
  <si>
    <t>template_label_social_disclosures_validation</t>
  </si>
  <si>
    <t>Social Disclosures</t>
  </si>
  <si>
    <t>Sociale oplysninger</t>
  </si>
  <si>
    <t xml:space="preserve">Sociale rapportage </t>
  </si>
  <si>
    <t>Informations sociales</t>
  </si>
  <si>
    <t>Sozialangaben</t>
  </si>
  <si>
    <t>Nochtaí Sóisialta</t>
  </si>
  <si>
    <t>Informative sociali</t>
  </si>
  <si>
    <t>Socialinių rodiklių atskleidimai</t>
  </si>
  <si>
    <t>Ujawnienia społeczne</t>
  </si>
  <si>
    <t>Divulgações Sociais</t>
  </si>
  <si>
    <t>Družbena razkritja</t>
  </si>
  <si>
    <t>Divulgaciones Sociales</t>
  </si>
  <si>
    <t>template_label_b8_workforce_general_characteristics_validation</t>
  </si>
  <si>
    <t>B8 - Workforce - General characteristics</t>
  </si>
  <si>
    <t>B8 - Arbejdsstyrke - Generelle karakteristika</t>
  </si>
  <si>
    <t>B8 - Personeel - Algemene kenmerken</t>
  </si>
  <si>
    <t>B8 – Personnel – Caractéristiques générales</t>
  </si>
  <si>
    <t>B8 - Arbeitskräfte – Allgemeine Merkmale</t>
  </si>
  <si>
    <t>B8 - Lucht saothair - Saintréithe ginearálta</t>
  </si>
  <si>
    <t>B8 - Forza lavoro - Caratteristiche generali</t>
  </si>
  <si>
    <t>B8 - Darbuotojai - Bendrieji rodikliai</t>
  </si>
  <si>
    <t>B8 – Zasoby pracownicze – Charakterystyka ogólna</t>
  </si>
  <si>
    <t>B8 – Força de trabalho – Características gerais</t>
  </si>
  <si>
    <t>B8 - Delovna sila - Splošne značilnosti</t>
  </si>
  <si>
    <t>B8 – Trabajadores – Características generales</t>
  </si>
  <si>
    <t>template_label_b9_workforce_health_and_safety_validation</t>
  </si>
  <si>
    <t>B9 - Workforce - Health and safety</t>
  </si>
  <si>
    <t>B9 – Arbejdsstyrke – Sundhed og sikkerhed</t>
  </si>
  <si>
    <t>B9 - Personeel – Gezondheid en veiligheid</t>
  </si>
  <si>
    <t>B9 – Personnel – Santé et sécurité</t>
  </si>
  <si>
    <t>B9 - Arbeitskräfte – Gesundheitsschutz und Sicherheit</t>
  </si>
  <si>
    <t>B9 - Lucht saothair – Sláinte agus sábháilteacht</t>
  </si>
  <si>
    <t>B9 – Forza lavoro – Salute e sicurezza</t>
  </si>
  <si>
    <t>B9 - Darbuotojai - Sveikata ir sauga</t>
  </si>
  <si>
    <t>B9 - Zasoby pracownicze – Bezpieczeństwo i higiena pracy</t>
  </si>
  <si>
    <t>B9 — Mão-de-obra — Saúde e segurança</t>
  </si>
  <si>
    <t>B9 – Delovna sila – Zdravje in varnost</t>
  </si>
  <si>
    <t>B9 – Trabajadores – Salud y seguridad</t>
  </si>
  <si>
    <t>template_label_b10_workforce_remuneration_collective_bargaining_and_training_validation</t>
  </si>
  <si>
    <t>B10 - Workforce - Remuneration, collective bargaining and training</t>
  </si>
  <si>
    <t>B10 - Arbejdsstyrke - Vederlag, kollektive overenskomster og uddannelse</t>
  </si>
  <si>
    <t>B10 – Personeel – Vergoeding, collectieve onderhandelingen en opleiding</t>
  </si>
  <si>
    <t>B10 –   Personnel – Rémunération, négociation collective et formation</t>
  </si>
  <si>
    <t>B10 - Arbeitskräfte – Vergütung, Tarif-/Kollektivverhandlungen und Schulung</t>
  </si>
  <si>
    <t>B10 - Lucht saothair – Luach saothair, cómhargáil agus oiliúint</t>
  </si>
  <si>
    <t xml:space="preserve">B10 – Forza lavoro – Retribuzione, contrattazione collettiva e formazione
</t>
  </si>
  <si>
    <t>B10 - Darbuotojai – Atlyginimas, kolektyvinės derybos ir mokymai</t>
  </si>
  <si>
    <t>B10 – Zasoby pracownicze – wynagrodzenie, rokowania zbiorowe i szkolenia</t>
  </si>
  <si>
    <t>B10 - Mão-de-obra – Remuneração, negociação coletiva e formação</t>
  </si>
  <si>
    <t>B10 – Delovna sila – Plačilo, kolektivna pogajanja in usposabljanje</t>
  </si>
  <si>
    <t>B10 – Trabajadores – Retribución, negociación colectiva y formación</t>
  </si>
  <si>
    <t>template_label_governance_disclosures_validation</t>
  </si>
  <si>
    <t>Governance Disclosures</t>
  </si>
  <si>
    <t>Ledelsesmæssige oplysninger</t>
  </si>
  <si>
    <t xml:space="preserve">Governance rapportage </t>
  </si>
  <si>
    <t>Informations de gouvernance</t>
  </si>
  <si>
    <t>Governance-Angaben</t>
  </si>
  <si>
    <t>Nochtaí Rialachais</t>
  </si>
  <si>
    <t>Informative sulla governance</t>
  </si>
  <si>
    <t>Valdysenos rodiklių atskleidimai</t>
  </si>
  <si>
    <t>Ujawnienia odnoszące się do ładu korporacyjnego</t>
  </si>
  <si>
    <t>Divulgações de Governança</t>
  </si>
  <si>
    <t>Upravljavska razkritja</t>
  </si>
  <si>
    <t>Información sobre Gobernanza</t>
  </si>
  <si>
    <t>template_label_b11_convictions_and_fines_for_corruption_and_bribery_validation</t>
  </si>
  <si>
    <t>B11 - Convictions and fines for corruption and bribery</t>
  </si>
  <si>
    <t>B11 – Domme og bøder for korruption og bestikkelse</t>
  </si>
  <si>
    <t>B11 – Veroordelingen en boetes voor corruptie en omkoping</t>
  </si>
  <si>
    <t>B11 – Condamnations et amendes pour corruption et pots-de-vin</t>
  </si>
  <si>
    <t>B11 - Verurteilungen und Geldstrafen wegen Korruption und Bestechung</t>
  </si>
  <si>
    <t>B11 - Ciontuithe agus fíneálacha mar gheall ar éilliú agus breabaireacht</t>
  </si>
  <si>
    <t>B11 - Condanne e ammende per corruzione attiva e passiva</t>
  </si>
  <si>
    <t>B11 - Nuosprendžiai ir baudos už korupciją ir kyšininkavimą</t>
  </si>
  <si>
    <t>B11 – Wyroki skazujące i grzywny za naruszenie przepisów antykorupcyjnych i przepisów w sprawie zwalczania przekupstwa</t>
  </si>
  <si>
    <t>B11 — Condenações e multas por corrupção e suborno</t>
  </si>
  <si>
    <t>B11 - Obsodbe in globe za korupcijo in podkupovanje</t>
  </si>
  <si>
    <t>B11 – Condenas y multas por corrupción y soborno</t>
  </si>
  <si>
    <t>template_label_comprehensive_module_validation</t>
  </si>
  <si>
    <t xml:space="preserve">Udvidet Modul </t>
  </si>
  <si>
    <t>Modulo onnicomprensivo</t>
  </si>
  <si>
    <t>IŠSAMUSIS MODULIS</t>
  </si>
  <si>
    <t>Módulo abrangente</t>
  </si>
  <si>
    <t>template_label_c1_strategy_business_model_and_sustainability_related_initiatives_validation</t>
  </si>
  <si>
    <t>C1 - Strategy: Business Model and Sustainability - Related Initiatives</t>
  </si>
  <si>
    <t xml:space="preserve">C1 – Strategi: Forretningsmodel og bæredygtighedsrelaterede initiativer
</t>
  </si>
  <si>
    <t>C1 – Strategie: l businessmodel en duurzaamheid – Gerelateerde initiatieven</t>
  </si>
  <si>
    <t xml:space="preserve">C1 – Stratégie : modèle économique et durabilité – initiatives associées
</t>
  </si>
  <si>
    <t>C1 - Strategie: Geschäftsmodell und Nachhaltigkeit – Zugehörige Initiativen</t>
  </si>
  <si>
    <t>C1 - Straitéis: Múnla Gnó agus Inbhuanaitheacht – Tionscnaimh Gaolmhara</t>
  </si>
  <si>
    <t>C1 - Strategia: modello aziendale e iniziative connesse alla sostenibilità</t>
  </si>
  <si>
    <t>C1. Strategija: verslo modelis ir su tvarumu susijusios iniciatyvos</t>
  </si>
  <si>
    <t>C1 – Strategia: model biznesowy i zrównoważony rozwój – powiązane inicjatywy</t>
  </si>
  <si>
    <t>C1 - Estratégia: Modelo de negócio e sustentabilidade — Iniciativas conexas</t>
  </si>
  <si>
    <t>C1 - Strategija: Poslovni model in trajnostnost – povezane pobude</t>
  </si>
  <si>
    <t>C1 – Estrategia: modelo de negocio y sostenibilidad – Iniciativas relacionadas</t>
  </si>
  <si>
    <t>template_label_c2_description_of_practices_policies_and_future_initiatives_for_transitioning_towards_a_more_sustainable_economy_validation</t>
  </si>
  <si>
    <t>C2 - Description of practices, policies and future initiatives for transitioning towards a more sustainable economy</t>
  </si>
  <si>
    <t xml:space="preserve">C2 - Beskrivelse af praksisser, politikker og fremtidige initiativer for omstillingen til en mere bæredygtig økonomi </t>
  </si>
  <si>
    <t>C2 – Beschrijving van praktijken, beleid en toekomstige initiatieven voor de transitie naar een duurzamere economie</t>
  </si>
  <si>
    <t>C2 – Description des pratiques, politiques et initiatives futures en vue de la transition vers une économie plus durable</t>
  </si>
  <si>
    <t>C2 - Beschreibung von Verfahrensweisen, Richtlinien und künftigen Initiativen für den Übergang zu einer nachhaltigeren Wirtschaft</t>
  </si>
  <si>
    <t>C2 - Cur síos ar chleachtais, ar bheartais agus ar thionscnaimh amach anseo chun aistriú i dtreo geilleagar níos inbhuanaithe</t>
  </si>
  <si>
    <t>C2 – Descrizione delle pratiche, delle politiche e delle iniziative future per la transizione verso un'economia più sostenibile</t>
  </si>
  <si>
    <t>C2. Perėjimo prie tvaresnės ekonomikos praktikų, politikos ir būsimų iniciatyvų aprašymas</t>
  </si>
  <si>
    <t>C2 – Opis praktyk, polityk i przyszłych inicjatyw na rzecz przejścia na bardziej zrównoważoną gospodarkę</t>
  </si>
  <si>
    <t>C2 - Descrição das práticas, políticas e iniciativas futuras para a transição para uma economia mais sustentável</t>
  </si>
  <si>
    <t>C2 - Opis praks, politik in prihodnjih pobud za prehod na bolj trajnostno gospodarstvo</t>
  </si>
  <si>
    <t>C2 – Descripción de las prácticas, políticas e iniciativas futuras para la transición hacia una economía más sostenible</t>
  </si>
  <si>
    <t>template_label_c3_ghg_reduction_targets_and_climate_transition_validation</t>
  </si>
  <si>
    <t>C3 - GHG reduction targets and climate transition</t>
  </si>
  <si>
    <t>C3 - Mål for reduktion af drivhusgasser og klimaomstilling</t>
  </si>
  <si>
    <t>C3 - Streefcijfers voor broeikasgasreductie en klimaattransitie</t>
  </si>
  <si>
    <t>C3 –   Cibles de réduction des émissions de GES et transition climatique</t>
  </si>
  <si>
    <t>C3 - THG-Reduktionsziele und Übergang für den Klimaschutz</t>
  </si>
  <si>
    <t>C3 - Spriocanna laghdaithe gás ceaptha teasa agus aistriú aeráide</t>
  </si>
  <si>
    <t>C3 – Obiettivi di riduzione delle emissioni di gas a effetto serra e transizione climatica</t>
  </si>
  <si>
    <t>C3 – ŠESD emisijų mažinimo tikslai ir klimato perėjimo planas</t>
  </si>
  <si>
    <t>C3 – Cele redukcji emisji gazów cieplarnianych i transformacja klimatyczna</t>
  </si>
  <si>
    <t>C3 - Objetivos de redução de GEE e transição climática</t>
  </si>
  <si>
    <t>C3 - Cilji zmanjšanja emisij toplogrednih plinov in podnebni prehod</t>
  </si>
  <si>
    <t>C3 - Metas de reducción de GEI y transición climática</t>
  </si>
  <si>
    <t>template_label_c4_climate_risks_validation</t>
  </si>
  <si>
    <t>C4 - Climate risks</t>
  </si>
  <si>
    <t>C4 - Klimarisici</t>
  </si>
  <si>
    <t>C4 – Klimaatrisico’s</t>
  </si>
  <si>
    <t>C4 – Risques climatiques</t>
  </si>
  <si>
    <t>C4 - Klimabedingte Risiken</t>
  </si>
  <si>
    <t>C4 - Rioscaí aeráide</t>
  </si>
  <si>
    <t>C4 - Rischi climatici</t>
  </si>
  <si>
    <t>C4 – Klimato rizikos</t>
  </si>
  <si>
    <t>C4 – Ryzyka związane z klimatem</t>
  </si>
  <si>
    <t>C4 – Riscos climáticos</t>
  </si>
  <si>
    <t>C4 - Podnebna tveganja</t>
  </si>
  <si>
    <t>C4 - Riesgos climáticos</t>
  </si>
  <si>
    <t>template_label_c5_additional_general_workforce_characteristics_validation</t>
  </si>
  <si>
    <t>C5 - Additional (general) workforce characteristics</t>
  </si>
  <si>
    <t>C5 - Supplerende (generelle) oplysninger om arbejdsstyrken</t>
  </si>
  <si>
    <t>C5 - Aanvullende (algemene) kenmerken van het personeelsbestand</t>
  </si>
  <si>
    <t>C5 – Caractéristiques supplémentaires (générales) du personnel</t>
  </si>
  <si>
    <t>C5 - Zusätzliche (allgemeine) Merkmale der Arbeitskräfte</t>
  </si>
  <si>
    <t>C5 - Saintréithe breise (ginearálta) den lucht saothair</t>
  </si>
  <si>
    <t>C5 – Altre caratteristiche (generali) della forza lavoro</t>
  </si>
  <si>
    <t>C5 - Papildomi (bendrieji) darbuotojų rodikliai</t>
  </si>
  <si>
    <t>C5 – Dodatkowa (ogólna) charakterystyka pracowników</t>
  </si>
  <si>
    <t>C5 - Características adicionais (gerais) da mão-de-obra</t>
  </si>
  <si>
    <t>C5 - Dodatne (splošne) značilnosti delovne sile</t>
  </si>
  <si>
    <t>C5 – Características (generales) adicionales de los trabajadores</t>
  </si>
  <si>
    <t>template_label_c6_additional_own_workforce_information_human_rights_policies_and_processes_validation</t>
  </si>
  <si>
    <t>C6 - Additional own workforce information - Human rights policies and processes</t>
  </si>
  <si>
    <t>C6 - Yderligere oplysninger om egen arbejdsstyrke - Politikker og processer vedrørende menneskerettigheder</t>
  </si>
  <si>
    <t>C6 — Aanvullende informatie over het personeel — Mensenrechtenbeleid en -processen</t>
  </si>
  <si>
    <t>C6 – Informations supplémentaires sur le personnel – Politiques et procédures en matière de droits de l’homme</t>
  </si>
  <si>
    <t>C6 - Zusätzliche Informationen über die Arbeitskräfte des Unternehmens – Richtlinien für die Achtung der Menschenrechte und diesbezügliche Prozesse</t>
  </si>
  <si>
    <t>C6 - Faisnéis bhreise faoin lucht saothair féin - Beartais agus próisis chearta an duine</t>
  </si>
  <si>
    <t>C6 - Altre informazioni sulla forza lavoro propria – Politiche e procedure in materia di diritti umani</t>
  </si>
  <si>
    <t>C6 - Papildoma darbuotojų informacija - Žmogaus teisių politika ir procesai</t>
  </si>
  <si>
    <t>C6 – Dodatkowe informacje dotyczące własnych zasobów pracowniczych – polityki i procesy dotyczące praw człowieka</t>
  </si>
  <si>
    <t xml:space="preserve">C6 — Informações adicionais sobre a própria mão-de-obra — Políticas e processos em matéria de direitos humanos
  </t>
  </si>
  <si>
    <t>C6 - Dodatne informacije o lastni delovni sili - Politika in postopki na področju človekovih pravic</t>
  </si>
  <si>
    <t>C6 – Información adicional sobre el personal propio – Políticas y procesos en materia de derechos humanos</t>
  </si>
  <si>
    <t>template_label_c7_severe_negative_human_rights_incidents_validation</t>
  </si>
  <si>
    <t>C7 - Severe negative human rights incidents</t>
  </si>
  <si>
    <t>C7 – Alvorlige negative menneskerettighedshændelser</t>
  </si>
  <si>
    <t>C7 - Ernstige negatieve incidenten met betrekking tot mensenrechten</t>
  </si>
  <si>
    <t>C7 – Incidents graves en matière de droits de l’homme</t>
  </si>
  <si>
    <t>C7 - Schwerwiegende Vorfälle im Zusammenhang mit Menschenrechten</t>
  </si>
  <si>
    <t>C7 – Teagmhais dhiúltacha thromchúiseacha a bhaineann le cearta an duine</t>
  </si>
  <si>
    <t xml:space="preserve">C7 - Incidenti gravi in materia di diritti umani
</t>
  </si>
  <si>
    <t>C7 - Dideli neigiami incidentai žmogaus teisių srityje</t>
  </si>
  <si>
    <t>C7 – Poważne incydenty dotyczące praw człowieka</t>
  </si>
  <si>
    <t>C7 - Incidentes negativos graves em matéria de direitos humanos</t>
  </si>
  <si>
    <t>C7 - Resni incidenti v zvezi s človekovimi pravicami</t>
  </si>
  <si>
    <t>C7 - Incidentes graves negativos de derechos humanos</t>
  </si>
  <si>
    <t>template_label_c8_revenues_from_certain_sectors_and_exclusion_from_eu_reference_benchmarks_validation</t>
  </si>
  <si>
    <t>C8 - Revenues from certain activities and exclusion from EU reference benchmarks</t>
  </si>
  <si>
    <t xml:space="preserve">C8 - Indtægter fra bestemte aktiviteter og udelukkelse fra EU-referencebenchmarks </t>
  </si>
  <si>
    <t>C8 — Ontvangsten uit bepaalde activiteiten en uitsluiting van EU-referentiebenchmarks</t>
  </si>
  <si>
    <t>C8 – Chiffre d’affaires de certains secteurs et exclusion des indices de référence de l’Union européenne</t>
  </si>
  <si>
    <t>C8 - Umsatzerlöse aus bestimmten Tätigkeiten und Ausnahme von EU-Referenzwerten</t>
  </si>
  <si>
    <t>C8 - Ioncaim ó ghníomhaíochtaí áirithe agus eisiamh ó thagarmharcanna tagartha an AE</t>
  </si>
  <si>
    <t>C8 – Ricavi da determinate attività ed esclusione dagli indici di riferimento dell'UE</t>
  </si>
  <si>
    <t>C8 – Pajamos iš tam tikrų sektorių ir neįtraukimai į ES lyginamuosius etalonus</t>
  </si>
  <si>
    <t>C8 – Przychody z niektórych rodzajów działalności i wykluczenie z unijnych wskaźników referencyjnych</t>
  </si>
  <si>
    <t>C8 – Rédito de determinadas atividades e exclusão dos índices de referência da UE</t>
  </si>
  <si>
    <t>C8 - Prihodki iz dejavnosti in izključitev iz referenčnih vrednosti EU</t>
  </si>
  <si>
    <t>C8 – Ingresos de determinadas actividades y exclusión de los índices de referencia de la UE</t>
  </si>
  <si>
    <t>template_label_c9_gender_diversity_ratio_in_the_governance_body_validation</t>
  </si>
  <si>
    <t>C9 - Gender diversity ratio in the governance body</t>
  </si>
  <si>
    <t>C9 – Kønsfordeling i ledelsesorganet</t>
  </si>
  <si>
    <t>C9 — Genderdiversiteitsverhouding in het bestuursorgaan</t>
  </si>
  <si>
    <t>C9 – Ratio de mixité au sein de l’organe de gouvernance</t>
  </si>
  <si>
    <t>C9 - Geschlechtervielfalt im Leitungsorgan</t>
  </si>
  <si>
    <t>C9 - Cóimheas éagsúlachta inscne sa chomhlacht rialachais</t>
  </si>
  <si>
    <t>C9 - Diversità di genere nell'organo di governance</t>
  </si>
  <si>
    <t>C9 - Lyčių įvairovės rodiklis valdymo organe</t>
  </si>
  <si>
    <t>C9 - Wskaźnik zróżnicowania organu zarządzającego pod względem płci</t>
  </si>
  <si>
    <t>C9 - Rácio de diversidade de género no órgão de governação</t>
  </si>
  <si>
    <t>C9 - Razmerje pri zastopanosti spolov v organu upravljanja</t>
  </si>
  <si>
    <t>C9 – Índice de diversidad de género en el órgano de gobierno</t>
  </si>
  <si>
    <t>template_label_additional_disclosures_validation</t>
  </si>
  <si>
    <t>Additional Disclosures</t>
  </si>
  <si>
    <t>Yderligere oplysninger</t>
  </si>
  <si>
    <t xml:space="preserve">Aanvullende rapportage </t>
  </si>
  <si>
    <t>Informations supplémentaires</t>
  </si>
  <si>
    <t>Zusätzliche Angaben</t>
  </si>
  <si>
    <t>Nochtaí Breise</t>
  </si>
  <si>
    <t>Ulteriori informative</t>
  </si>
  <si>
    <t>Papildomi atskleidimai</t>
  </si>
  <si>
    <t>Dodatkowe ujawnienia</t>
  </si>
  <si>
    <t>Divulgações Adicionais</t>
  </si>
  <si>
    <t>Dodatna razkritja</t>
  </si>
  <si>
    <t>Divulgaciones adicionales</t>
  </si>
  <si>
    <t>template_label_paragraph_reference</t>
  </si>
  <si>
    <t>Reference til paragraf</t>
  </si>
  <si>
    <t>Paragraafverwijzing</t>
  </si>
  <si>
    <t>Référence de paragraphe</t>
  </si>
  <si>
    <t>Verweis auf Absatz/ Nummer</t>
  </si>
  <si>
    <t>Tagairt na Míre</t>
  </si>
  <si>
    <t>Riferimento al paragrafo</t>
  </si>
  <si>
    <t>Pastraipos nuoroda</t>
  </si>
  <si>
    <t>Odniesienie do paragrafu</t>
  </si>
  <si>
    <t>Referência do parágrafo</t>
  </si>
  <si>
    <t>Sklic na odstavek</t>
  </si>
  <si>
    <t>Referencia de párrafo</t>
  </si>
  <si>
    <t>template_label_paragraph_guidance_reference</t>
  </si>
  <si>
    <t xml:space="preserve">Reference til paragrafvejledning </t>
  </si>
  <si>
    <t>Paragraaf  Handreiking Referentie</t>
  </si>
  <si>
    <t>Référence de paragraphe des orientations</t>
  </si>
  <si>
    <t>Verweis auf Leitlinien-absatz/ -nummer</t>
  </si>
  <si>
    <t>Tagairt Threorach do Mhír</t>
  </si>
  <si>
    <t xml:space="preserve">Riferimento al paragrafo degli orientamenti
</t>
  </si>
  <si>
    <t>Gairių pastaipos nuoroda</t>
  </si>
  <si>
    <t>Odniesienie do wytycznych w paragrafie</t>
  </si>
  <si>
    <t>Referência de Orientação do Parágrafo</t>
  </si>
  <si>
    <t>Sklic na smernice za odstavke</t>
  </si>
  <si>
    <t>Referencia al párrafo de la Guía</t>
  </si>
  <si>
    <t>template_label_from</t>
  </si>
  <si>
    <t>from</t>
  </si>
  <si>
    <t>fra</t>
  </si>
  <si>
    <t>van</t>
  </si>
  <si>
    <t>du</t>
  </si>
  <si>
    <t>vom</t>
  </si>
  <si>
    <t>ó</t>
  </si>
  <si>
    <t>iš</t>
  </si>
  <si>
    <t>z</t>
  </si>
  <si>
    <t>od</t>
  </si>
  <si>
    <t>template_label_to</t>
  </si>
  <si>
    <t>to</t>
  </si>
  <si>
    <t>til</t>
  </si>
  <si>
    <t>naar</t>
  </si>
  <si>
    <t>au</t>
  </si>
  <si>
    <t>bis</t>
  </si>
  <si>
    <t>go</t>
  </si>
  <si>
    <t>a</t>
  </si>
  <si>
    <t>į</t>
  </si>
  <si>
    <t>do</t>
  </si>
  <si>
    <t>para</t>
  </si>
  <si>
    <t>template_label_at</t>
  </si>
  <si>
    <t>at</t>
  </si>
  <si>
    <t xml:space="preserve">
Den</t>
  </si>
  <si>
    <t>bij</t>
  </si>
  <si>
    <t>à</t>
  </si>
  <si>
    <t>zum</t>
  </si>
  <si>
    <t>ag</t>
  </si>
  <si>
    <t>Vietoje:</t>
  </si>
  <si>
    <t>w</t>
  </si>
  <si>
    <t>em</t>
  </si>
  <si>
    <t>pri</t>
  </si>
  <si>
    <t>template_label_always_to_be_reported</t>
  </si>
  <si>
    <t>[Always to be reported]</t>
  </si>
  <si>
    <t>[Skal altid rapporteres]</t>
  </si>
  <si>
    <t xml:space="preserve"> Verplicht rapporteren</t>
  </si>
  <si>
    <t xml:space="preserve">[Toujours à reporter] 
</t>
  </si>
  <si>
    <t>[Immer anzugeben]</t>
  </si>
  <si>
    <t>[Le tuairisciú i gcónaí]</t>
  </si>
  <si>
    <t>[Sempre da riportare]</t>
  </si>
  <si>
    <t>[Privaloma visada pateikti]</t>
  </si>
  <si>
    <t>[Zawsze do zgłoszenia]</t>
  </si>
  <si>
    <t>[Sempre a ser reportado]</t>
  </si>
  <si>
    <t>[Vedno se poroča]</t>
  </si>
  <si>
    <t>[Siempre debe informarse]</t>
  </si>
  <si>
    <t>template_label_if_applicable</t>
  </si>
  <si>
    <t>[If applicable]</t>
  </si>
  <si>
    <t>[Hvis relevant]</t>
  </si>
  <si>
    <t>Indien van toepassing</t>
  </si>
  <si>
    <t>[Le cas échéant]</t>
  </si>
  <si>
    <t>[Falls zutreffend]</t>
  </si>
  <si>
    <t>[Más infheidhme]</t>
  </si>
  <si>
    <t>[Se applicabile]</t>
  </si>
  <si>
    <t>[Jei taikytina]</t>
  </si>
  <si>
    <t>[Jeśli dotyczy]</t>
  </si>
  <si>
    <t>[Se aplicável]</t>
  </si>
  <si>
    <t>[Če je primerno]</t>
  </si>
  <si>
    <t>[Si procede]</t>
  </si>
  <si>
    <t>template_label_may</t>
  </si>
  <si>
    <t>[May (optional)]</t>
  </si>
  <si>
    <t>[Valgfri]</t>
  </si>
  <si>
    <t>[ Kan (optioneel)]</t>
  </si>
  <si>
    <t>[peut (facultatif)]</t>
  </si>
  <si>
    <t>[Kann (optional)]</t>
  </si>
  <si>
    <t>[Is feidir (roghnach)]</t>
  </si>
  <si>
    <t>[Facoltà (facoltativo)]</t>
  </si>
  <si>
    <t>[Gali būti pateikiama (neprivaloma)]</t>
  </si>
  <si>
    <t>[Może (opcjonalnie)]</t>
  </si>
  <si>
    <t>Pode ser (opcional)</t>
  </si>
  <si>
    <t>[Lahko (neobvezno)]</t>
  </si>
  <si>
    <t>[Podrá (opcional)]</t>
  </si>
  <si>
    <t>template_label_may_not_headline</t>
  </si>
  <si>
    <t>May (optional)</t>
  </si>
  <si>
    <t xml:space="preserve">Valgfri </t>
  </si>
  <si>
    <t xml:space="preserve"> Kan (optioneel)</t>
  </si>
  <si>
    <t>peut (facultatif)</t>
  </si>
  <si>
    <t>Kann (optional)</t>
  </si>
  <si>
    <t xml:space="preserve"> Is feidir (roghnach)</t>
  </si>
  <si>
    <t>Facoltà (facoltativo)</t>
  </si>
  <si>
    <t>Gali būti pateikiama (neprivaloma)</t>
  </si>
  <si>
    <t>Może (opcjonalnie)</t>
  </si>
  <si>
    <t>Lahko (neobvezno)</t>
  </si>
  <si>
    <t>Podrá (opcional)</t>
  </si>
  <si>
    <t>template_label_always_to_be_reported_if_applicable</t>
  </si>
  <si>
    <t>[Always to be reported + If applicable]</t>
  </si>
  <si>
    <t>[Skal altid rapporteres + hvis relevant]</t>
  </si>
  <si>
    <t>"[ Verplicht rapporteren + Indien van toepassing]"</t>
  </si>
  <si>
    <t>[Toujours à reporter + le cas échéant]</t>
  </si>
  <si>
    <t>[Immer anzugeben + falls zutreffend]</t>
  </si>
  <si>
    <t>[Le tuairisciú i gcónaí + más infheidhme]</t>
  </si>
  <si>
    <t>[Sempre da riportare + se applicabile]</t>
  </si>
  <si>
    <t>[Privaloma visada pateikti + jei taikytina]</t>
  </si>
  <si>
    <t>[Zawsze do zgłoszenia + Jeśli dotyczy]</t>
  </si>
  <si>
    <t>Sempre a ser reportado + Se aplicável</t>
  </si>
  <si>
    <t>[Vedno se poroča + Če je primerno]</t>
  </si>
  <si>
    <t>[Siempre debe informarse + Si procede]</t>
  </si>
  <si>
    <t>template_label_if_applicable_linked_to_b2</t>
  </si>
  <si>
    <t>[If applicable linked with B2]</t>
  </si>
  <si>
    <t>[Hvis relevant tilkoblet med B2]</t>
  </si>
  <si>
    <t>[Indien van toepassing gekoppeld aan B2]</t>
  </si>
  <si>
    <t>[S'il y a lieu, lié à B2]</t>
  </si>
  <si>
    <t>[Falls angegeben mit B2 verknüpft]</t>
  </si>
  <si>
    <t>[Más infheidhme nasctha le B2]</t>
  </si>
  <si>
    <t>[Se applicabile collegato a B2]</t>
  </si>
  <si>
    <t>[Jei taikytina, susieta su B2]</t>
  </si>
  <si>
    <t>[Jeśli dotyczy, powiązane z B2]</t>
  </si>
  <si>
    <t>[Se aplicável, ligado ao B2]</t>
  </si>
  <si>
    <t>[Če je primerno, povezano z B2]</t>
  </si>
  <si>
    <t>[Si procede, vinculado con B2]</t>
  </si>
  <si>
    <t>template_label_amount_in</t>
  </si>
  <si>
    <t>amount in</t>
  </si>
  <si>
    <t xml:space="preserve">
beløb i
</t>
  </si>
  <si>
    <t>bedrag in</t>
  </si>
  <si>
    <t>montant en</t>
  </si>
  <si>
    <t>Betrag in</t>
  </si>
  <si>
    <t>méid i</t>
  </si>
  <si>
    <t>importo in</t>
  </si>
  <si>
    <t>kiekis/suma</t>
  </si>
  <si>
    <t>kwota w</t>
  </si>
  <si>
    <t>montante em</t>
  </si>
  <si>
    <t>znesek v</t>
  </si>
  <si>
    <t>importe en</t>
  </si>
  <si>
    <t>template_label_information_on_the_report_necessary_for_xbrl</t>
  </si>
  <si>
    <t>Informatie over het rapport dat noodzakelijk is voor XBRL</t>
  </si>
  <si>
    <t>Informacija, reikalinga ataskaitai XBRL formatu</t>
  </si>
  <si>
    <t>Informacje dotyczące sprawozdania niezbędne dla XBRL</t>
  </si>
  <si>
    <t>Información sobre el informe necesaria para XBRL</t>
  </si>
  <si>
    <t>template_label_name_of_the_reporting_entity</t>
  </si>
  <si>
    <t>Name of the reporting entity</t>
  </si>
  <si>
    <t>Navn på den rapporterende virksomhed</t>
  </si>
  <si>
    <t>Naam van de rapporterende entiteit</t>
  </si>
  <si>
    <t xml:space="preserve">Nom de l'entreprise déclarante
</t>
  </si>
  <si>
    <t>Name des berichterstattenden Unternehmens</t>
  </si>
  <si>
    <t>Ainm an eintitis tuairiscithe</t>
  </si>
  <si>
    <t>Nome dell'impresa che redige la relazione</t>
  </si>
  <si>
    <t>Ataskaitą teikiančios įmonės pavadinimas</t>
  </si>
  <si>
    <t>Nazwa jednostki sporządzającej sprawozdanie</t>
  </si>
  <si>
    <t>Nome da entidade que reporta</t>
  </si>
  <si>
    <t>Ime podjetja, ki je poslalo poročilo</t>
  </si>
  <si>
    <t>Nombre de la entidad informante</t>
  </si>
  <si>
    <t>template_label_identifier_of_the_reporting_entity</t>
  </si>
  <si>
    <t>Identifier of the reporting entity (select and specify on the right)</t>
  </si>
  <si>
    <t>Identifikator for den rapporterende virksomhed (vælg og angiv til højre)</t>
  </si>
  <si>
    <t>Identifiant de l'entreprise déclarante (sélectionnez et spécifiez à droite)</t>
  </si>
  <si>
    <t>Kennung des berichterstattenden Unternehmens (rechts auswählen und angeben)</t>
  </si>
  <si>
    <t>Aitheantóir an eintitis tuairiscithe (roghnaigh agus sonraigh ar dheis)</t>
  </si>
  <si>
    <t>Identificatore dell'impresa che redige la relazione (selezionare e specificare a destra)</t>
  </si>
  <si>
    <t>Ataskaitą teikiančios įmonės identifikatorius (pasirinkti ir nurodyti dešinėje)</t>
  </si>
  <si>
    <t>Identyfikator jednostki sporządzającej sprawozdanie (wybierz i określ po prawej)</t>
  </si>
  <si>
    <t>Identificador da entidade que reporta (selecione e especifique à direita)</t>
  </si>
  <si>
    <t>Identifikacijska številka podjetja, ki poroča (izberite in navedite na desni)</t>
  </si>
  <si>
    <t>Identificador de la entidad que presenta el informe (seleccione y especifique a la derecha)</t>
  </si>
  <si>
    <t>template_label_currency_of_the_monetary_values_in_the_report</t>
  </si>
  <si>
    <t>Currency of the monetary values in the report</t>
  </si>
  <si>
    <t>Valuta for de monetære værdier i rapporten</t>
  </si>
  <si>
    <t xml:space="preserve">Valuta van de monetaire waarden in het rapport </t>
  </si>
  <si>
    <t>Devise utilisée pour les valeurs monétaires dans le rapport</t>
  </si>
  <si>
    <t>Währung der monetären Angaben im Bericht</t>
  </si>
  <si>
    <t>Airgeadra na luachanna airgeadaíochta sa tuarascáil</t>
  </si>
  <si>
    <t>Valuta dei valori monetari nella relazione</t>
  </si>
  <si>
    <t>Ataskaitoje naudojama valiuta</t>
  </si>
  <si>
    <t>Waluta wartości pieniężnych w sprawozdaniu</t>
  </si>
  <si>
    <t>Moeda em que os valores monetários do relatório estão expressos</t>
  </si>
  <si>
    <t>Valuta denarnih vrednosti v poročilu</t>
  </si>
  <si>
    <t>Divisa de los valores monetarios en el informe</t>
  </si>
  <si>
    <t>template_label_starting_year</t>
  </si>
  <si>
    <t>Starting year</t>
  </si>
  <si>
    <t>Startår</t>
  </si>
  <si>
    <t>Jaartal startpunt</t>
  </si>
  <si>
    <t>Année de début</t>
  </si>
  <si>
    <t>Beginn: Jahr</t>
  </si>
  <si>
    <t>Bliain tosaigh</t>
  </si>
  <si>
    <t>Anno di inizio</t>
  </si>
  <si>
    <t>Ataskaitiniai metai, prasidedantys (metai)</t>
  </si>
  <si>
    <t>Rok rozpoczęcia</t>
  </si>
  <si>
    <t>Ano de início</t>
  </si>
  <si>
    <t>Začetno leto</t>
  </si>
  <si>
    <t>Año de inicio</t>
  </si>
  <si>
    <t>template_label_starting_month</t>
  </si>
  <si>
    <t>Starting month</t>
  </si>
  <si>
    <t>Startmåned</t>
  </si>
  <si>
    <t xml:space="preserve">Startmaand
</t>
  </si>
  <si>
    <t>Mois de début</t>
  </si>
  <si>
    <t>Beginn: Monat</t>
  </si>
  <si>
    <t>Mí tosaigh</t>
  </si>
  <si>
    <t>Mese di inizio</t>
  </si>
  <si>
    <t>Ataskaitiniai metai, prasidedantys (mėnuo)</t>
  </si>
  <si>
    <t>Miesiąc rozpoczęcia</t>
  </si>
  <si>
    <t>Mês de início</t>
  </si>
  <si>
    <t>Začetni mesec</t>
  </si>
  <si>
    <t>Mes de inicio</t>
  </si>
  <si>
    <t>template_label_starting_day</t>
  </si>
  <si>
    <t>Starting day</t>
  </si>
  <si>
    <t>Startdato</t>
  </si>
  <si>
    <t>Startdag</t>
  </si>
  <si>
    <t>Jour de début</t>
  </si>
  <si>
    <t>Beginn: Tag</t>
  </si>
  <si>
    <t>Lá tosaigh</t>
  </si>
  <si>
    <t>Giorno di inizio</t>
  </si>
  <si>
    <t>Ataskaitiniai metai, prasidedantys (diena)</t>
  </si>
  <si>
    <t>Dzień rozpoczęcia</t>
  </si>
  <si>
    <t>Dia de início</t>
  </si>
  <si>
    <t>Začetni dan</t>
  </si>
  <si>
    <t>Día de inicio</t>
  </si>
  <si>
    <t>template_label_reporting_period_start_date</t>
  </si>
  <si>
    <t>Reporting period start date (yyyy-mm-dd)</t>
  </si>
  <si>
    <t>Rapporteringsperiodens startdato (åååå-mm-dd)</t>
  </si>
  <si>
    <t xml:space="preserve"> Startdatum rapportageperiode (jjjj-mm-dd)</t>
  </si>
  <si>
    <t>Date de début de la période de reporting (aaaa-mm-jj)</t>
  </si>
  <si>
    <t>Beginn des Berichtszeitraums (yyyy-mm-dd)</t>
  </si>
  <si>
    <t>Dáta tosaigh na tréimhse tuairiscithe (bbbb-mm-ll)</t>
  </si>
  <si>
    <t>Data di inizio del periodo di riferimento (gg-mm-aaaa)</t>
  </si>
  <si>
    <t>Ataskaitinio laikotarpio pradžia (yyyy-mm-dd)</t>
  </si>
  <si>
    <t>Data rozpoczęcia okresu sprawozdawczego (rrrr-mm-dd)</t>
  </si>
  <si>
    <t>Data de início do período de reporte (aaaa-mm-dd)</t>
  </si>
  <si>
    <t>Začetni datum poročevalskega obdobja (llll-mm-dd)</t>
  </si>
  <si>
    <t>Fecha de inicio del período informado (aaaa-mm-dd)</t>
  </si>
  <si>
    <t>template_label_ending_year</t>
  </si>
  <si>
    <t>Ending year</t>
  </si>
  <si>
    <t>Slutår</t>
  </si>
  <si>
    <t>Jaartal eindpunt</t>
  </si>
  <si>
    <t xml:space="preserve">Année de fin
</t>
  </si>
  <si>
    <t>Ende: Jahr</t>
  </si>
  <si>
    <t>Deireadh na bliana</t>
  </si>
  <si>
    <t>Anno di chiusura</t>
  </si>
  <si>
    <t>Ataskaitiniai metai, besibaigiantys (metai)</t>
  </si>
  <si>
    <t>Rok zakończenia</t>
  </si>
  <si>
    <t>Ano de término</t>
  </si>
  <si>
    <t>Končno leto</t>
  </si>
  <si>
    <t>Año de finalización</t>
  </si>
  <si>
    <t>template_label_ending_month</t>
  </si>
  <si>
    <t>Ending month</t>
  </si>
  <si>
    <t xml:space="preserve">Slutmåned
</t>
  </si>
  <si>
    <t>Eindmaand</t>
  </si>
  <si>
    <t>Mois de fin</t>
  </si>
  <si>
    <t>Ende: Monat</t>
  </si>
  <si>
    <t>Deireadh na míosa</t>
  </si>
  <si>
    <t>Mese di chiusura</t>
  </si>
  <si>
    <t>Ataskaitiniai metai, besibaigiantys (mėnuo)</t>
  </si>
  <si>
    <t>Miesiąc zakończenia</t>
  </si>
  <si>
    <t>Mês final</t>
  </si>
  <si>
    <t>Končni mesec</t>
  </si>
  <si>
    <t>Mes de finalización</t>
  </si>
  <si>
    <t>template_label_ending_day</t>
  </si>
  <si>
    <t>Slutdato</t>
  </si>
  <si>
    <t xml:space="preserve">Einddag
</t>
  </si>
  <si>
    <t>Jour de fin</t>
  </si>
  <si>
    <t>Ende: Tag</t>
  </si>
  <si>
    <t>Lá deiridh</t>
  </si>
  <si>
    <t>Giorno di chiusura</t>
  </si>
  <si>
    <t>Ataskaitiniai metai, besibaigiantys (diena)</t>
  </si>
  <si>
    <t>Dzień zakończenia</t>
  </si>
  <si>
    <t>Dia final</t>
  </si>
  <si>
    <t>Končni dan</t>
  </si>
  <si>
    <t>Día final</t>
  </si>
  <si>
    <t>template_label_reporting_period_end_date</t>
  </si>
  <si>
    <t>Reporting period end date  (yyyy-mm-dd)</t>
  </si>
  <si>
    <t>Rapporteringsperiodens slutdato (åååå-mm-dd)</t>
  </si>
  <si>
    <t>Einddatum rapportageperiode  (jjjj-mm-dd)</t>
  </si>
  <si>
    <t>Date de fin de la période de reporting (aaaa-mm-jj)</t>
  </si>
  <si>
    <t>Ende des Berichtszeitraums (yyyy-mm-dd)</t>
  </si>
  <si>
    <t>Dáta deiridh na tréimhse tuairiscithe (bbbb-mm-ll)</t>
  </si>
  <si>
    <t>Data di chiusura del periodo di riferimento (gg-mm-aaaa)</t>
  </si>
  <si>
    <t>Ataskaitinio laikotarpio pabaiga (yyyy-mm-dd)</t>
  </si>
  <si>
    <t>Data zakończenia okresu sprawozdawczego (rrrr-mm-dd)</t>
  </si>
  <si>
    <t>Data final do período de reporte (aaaa-mm-dd)</t>
  </si>
  <si>
    <t>Končni datum poročevalskega obdobja (llll-mm-dd)</t>
  </si>
  <si>
    <t>Fecha de finalización del período de reporte (aaaa-mm-dd)</t>
  </si>
  <si>
    <t>template_label_information_on_previous_reporting_period</t>
  </si>
  <si>
    <t>Oplysninger om forrige rapporteringsperiode</t>
  </si>
  <si>
    <t xml:space="preserve">Informatie over de vorige  rapportageperiode
</t>
  </si>
  <si>
    <t>Informacje dotyczące poprzedniego okresu sprawozdawczego</t>
  </si>
  <si>
    <t>template_label_disclosures_from_the_previous_reporting_period_that_remain_unchanged</t>
  </si>
  <si>
    <t>This report contains disclosures from the previous reporting period that remain unchanged</t>
  </si>
  <si>
    <t>Denne rapport indeholder oplysninger fra den forrige rapporteringsperiode, som forbliver uændrede</t>
  </si>
  <si>
    <t>Dit rapport bevat  de rapportages uit de vorige  rapportageperiode die ongewijzigd zijn gebleven.</t>
  </si>
  <si>
    <t>Ce rapport contient des informations de la période de reporting précédente qui restent inchangées.</t>
  </si>
  <si>
    <t xml:space="preserve">Dieser Bericht enthält Angaben, die sich gegenüber dem vorherigen Berichtszeitraum nicht verändert haben.
</t>
  </si>
  <si>
    <t>Cuimsíonn an tuarascáil seo nochtaí ón tréimhse tuairiscithe roimhe sin nach bhfuil athraithe orthu</t>
  </si>
  <si>
    <t>Questa relazione contiene informative del periodo di riferimento precedente che rimangono invariate.</t>
  </si>
  <si>
    <t>Ši ataskaita įtraukia tuos ankstesnio ataskaitinio laikotarpio atskleidimus, kurie liko nepakitę</t>
  </si>
  <si>
    <t>Niniejsze sprawozdanie zawiera ujawnienia z poprzedniego okresu sprawozdawczego, które pozostają niezmienione</t>
  </si>
  <si>
    <t>Este relatório contém divulgações do período de relato anterior que permanecem inalteradas</t>
  </si>
  <si>
    <t>To poročilo vsebuje razkritja iz prejšnjega poročilnega obdobja, ki ostajajo nespremenjena.</t>
  </si>
  <si>
    <t>Este informe contiene divulgaciones del período de reporte anterior que permanecen sin cambios.</t>
  </si>
  <si>
    <t>template_label_disclosures_for_which_no_changes_are_reported_compared_to_the_previous_period_reporting</t>
  </si>
  <si>
    <t>List of disclosures for which no changes are reported compared to the previous period reporting</t>
  </si>
  <si>
    <t>Liste over oplysninger, der ikke er ændret i forhold til forrige rapporteringsperiode</t>
  </si>
  <si>
    <t xml:space="preserve">Lijst van  rapportages waarvoor geen wijzigingen zijn gerapporteerd in vergelijking met de rapportage over de voorgaande periode
</t>
  </si>
  <si>
    <t>Liste des informations pour lesquelles aucun changement n’est signalé par rapport à la période de reporting précédente</t>
  </si>
  <si>
    <t>Liste der Angaben, für die im Vergleich zum vorherigen Berichtszeitraum keine Änderungen gemeldet werden</t>
  </si>
  <si>
    <t>Liosta de nochtaí nach bhfuil aon athruithe tuairiscithe ina leith i gcomparáid leis an tréimhse roimhe sin a thuairiscítear</t>
  </si>
  <si>
    <t>Elenco delle informative per le quali non sono riportate variazioni rispetto al periodo di riferimento precedente</t>
  </si>
  <si>
    <t>Atskleidimų, dėl kurių nepateikta jokių pakeitimų, palyginti su ankstesnio laikotarpio ataskaita, sąrašas</t>
  </si>
  <si>
    <t>Lista ujawnień, dla których nie zgłoszono zmian w porównaniu z poprzednim okresem sprawozdawczym</t>
  </si>
  <si>
    <t>Lista de divulgações para as quais não se reportam alterações em relação ao período de relato anterior</t>
  </si>
  <si>
    <t>Seznam razkritij, za katera ni bilo sprememb v primerjavi s poročilom iz prejšnjega obdobja</t>
  </si>
  <si>
    <t>Lista de revelaciones para las cuales no se reportan cambios en comparación con el informe del período anterior</t>
  </si>
  <si>
    <t>template_label_link_to_previous_report_containing_disclosures_that_remain_unchanged</t>
  </si>
  <si>
    <t>Link to previous report containing disclosures that remain unchanged</t>
  </si>
  <si>
    <t>Link til forrige rapport, som indeholder oplysninger, der forbliver uændrede</t>
  </si>
  <si>
    <t>Verwijzing naar vorig  rapport met ongewijzigde rapportages</t>
  </si>
  <si>
    <t>Lien vers le rapport précédent contenant des informations inchangées</t>
  </si>
  <si>
    <t>Link zum vorherigen Bericht mit Angaben, die unverändert bleiben</t>
  </si>
  <si>
    <t>Nasc chuig an tuarascáil roimhe seo ina bhfuil nochtaí nach bhfuil athruithe</t>
  </si>
  <si>
    <t>Collegamento alla relazione precedente contenente le informative che rimangono invariate</t>
  </si>
  <si>
    <t>Nuoroda į ankstesnę ataskaitą, kurioje yra nepakitę atskleidimai</t>
  </si>
  <si>
    <t>Odnośnik do poprzedniego sprawozdania zawierającego ujawnienia, które pozostają niezmienione</t>
  </si>
  <si>
    <t>Ligação para o relatório anterior com as divulgações que permanecem inalteradas</t>
  </si>
  <si>
    <t>Povezava do prejšnjega poročila z razkritji, ki ostajajo nespremenjena</t>
  </si>
  <si>
    <t>Enlace al informe anterior que contiene divulgaciones que permanecen sin cambios</t>
  </si>
  <si>
    <t>template_label_b1_basis_for_preparation</t>
  </si>
  <si>
    <t>B1 - Basis for Preparation &amp; Module</t>
  </si>
  <si>
    <t>B1 - Grundlag for udarbejdelse &amp; modul</t>
  </si>
  <si>
    <t>B1 - Grondslag voor het opstellen van informatie &amp; Module</t>
  </si>
  <si>
    <t>B1 - Base de préparation &amp; Module</t>
  </si>
  <si>
    <t>B1 – Grundlagen für die Erstellung &amp; modul</t>
  </si>
  <si>
    <t>B1 - Bunús Ullmhúcháin &amp; Modúl</t>
  </si>
  <si>
    <t>B1 - Criteri per la redazione e informazioni generali dell'impresa &amp; Modulo</t>
  </si>
  <si>
    <t>B1 – Ataskaitos rengimo pagrindas &amp; modulis</t>
  </si>
  <si>
    <t>B1 – Podstawa sporządzenia &amp; moduł</t>
  </si>
  <si>
    <t>B1 - Base de preparação &amp; Módulo</t>
  </si>
  <si>
    <t>B1 - Osnova za pripravo in modul</t>
  </si>
  <si>
    <t>B1 - Base para la elaboración &amp; Módulo</t>
  </si>
  <si>
    <t>template_label_b1_other_undertakings_general_information</t>
  </si>
  <si>
    <t>B1 - Other undertaking's general information</t>
  </si>
  <si>
    <t>B1 - Øvrige generelle oplysninger om virksomheden</t>
  </si>
  <si>
    <t>B1 - Algemene informatie over andere ondernemingen</t>
  </si>
  <si>
    <t>B1 - Autres informations générales de l'entreprise</t>
  </si>
  <si>
    <t>B1 – Allgemeine Informationen zum Unternehmen</t>
  </si>
  <si>
    <t>B1 - Faisnéis ghinearálta gnóthais eile</t>
  </si>
  <si>
    <t>B1 - Informazioni generali dell'impresa</t>
  </si>
  <si>
    <t>B1 – Kita įmonės bendroji informacija</t>
  </si>
  <si>
    <t>B1 – Ogólne informacje o jednostce</t>
  </si>
  <si>
    <t>B1 - Outras informações gerais da entidade</t>
  </si>
  <si>
    <t>B1 - Splošne informacije o drugih podjetjih</t>
  </si>
  <si>
    <t>B1 - Otra información general del empresario</t>
  </si>
  <si>
    <t>template_label_basis_for_preparation</t>
  </si>
  <si>
    <t>Basis for preparation (Basic Module Only or Basic &amp; Comprehensive Module)</t>
  </si>
  <si>
    <t>Grundlag for udarbejdelse (Basismodul alene eller Basismodul &amp; Udvidet modul)</t>
  </si>
  <si>
    <t>Grondslag voor het opstellen van informatie (alleen Basismodule of Basismodule &amp; Uitgebreide Module)</t>
  </si>
  <si>
    <t>Base de préparation (Module de base uniquement ou Modules de base &amp; complet)</t>
  </si>
  <si>
    <t>Grundlagen für die Erstellung (Nur Basismodul oder Basismodul &amp; Zusatzmodul)</t>
  </si>
  <si>
    <t>Bunús ullmhúcháin (Modúl Bunúsach Amháin nó Modúl Bunúsach &amp; Cuimsitheach)</t>
  </si>
  <si>
    <t>Criteri per la redazione (Solo Modulo Base o Modulo Base &amp; Modulo Onnicomprensivo)</t>
  </si>
  <si>
    <t>Ataskaitos rengimo pagrindas (tik Bazinis modulis arba Bazinis ir Išsamusis modulis)</t>
  </si>
  <si>
    <t>Podstawa sporządzenia (tylko moduł podstawowy lub moduł podstawowy i kompleksowy)</t>
  </si>
  <si>
    <t>Base de preparação (apenas Módulo Básico ou Módulo Básico e Abrangente</t>
  </si>
  <si>
    <t>Osnova za pripravo (samo osnovni modul ali osnovni in celovit modul)</t>
  </si>
  <si>
    <t>Base para la preparación (Solo Módulo Básico o Módulo Básico y Comprensivo)</t>
  </si>
  <si>
    <t>template_label_list_of_omitted_disclosures_deemed_to_be_classified_or_sensitive_information</t>
  </si>
  <si>
    <t>List of omitted disclosures deemed to be classified or sensitive information</t>
  </si>
  <si>
    <t>Liste over udeladte oplysninger, der anses for at være klassificerede eller følsomme oplysninger</t>
  </si>
  <si>
    <t xml:space="preserve">Lijst van  ontbrekende toelichtingen over informatie die wordt beschouwd als concurrentiegevoelig of bedrijfsgeheim </t>
  </si>
  <si>
    <t>Liste des informations omises jugées comme informations classifiées ou sensibles</t>
  </si>
  <si>
    <t>Liste der weggelassenen Angaben, die als Verschlusssachen oder vertrauliche Informationen eingestuft werden</t>
  </si>
  <si>
    <t>Liosta de nochtaí fágtha ar lár a mheastar a bheith faoi rún nó ina bhfaisnéis íogair</t>
  </si>
  <si>
    <t>Elenco delle informative omesse considerate come informazioni classificate o sensibili</t>
  </si>
  <si>
    <t>Nepateiktų atskleidimų, laikomų konfidencialia ar jautria informacija, sąrašas</t>
  </si>
  <si>
    <t>Lista ujawnień pominiętych uznanych za informacje zastrzeżone lub wrażliwe</t>
  </si>
  <si>
    <t>Lista de divulgações omitidas consideradas informação classificada ou sensível</t>
  </si>
  <si>
    <t>Seznam izpuščenih razkritij, ki vsebujejo tajne ali občutljive podatke</t>
  </si>
  <si>
    <t>Lista de divulgaciones omitidas consideradas como información clasificada o sensible</t>
  </si>
  <si>
    <t>template_label_basis_for_reporting</t>
  </si>
  <si>
    <t>Basis for reporting (consolidated or individual basis)</t>
  </si>
  <si>
    <t>Grundlag for udarbejdelse af bæredygtighedsrapport (individuelt grundlag eller konsolideret grundlag)</t>
  </si>
  <si>
    <t>Grondslag voor rapportage (geconsolideerd of enkelvoudig )</t>
  </si>
  <si>
    <t>Base de présentation (consolidée ou individuelle)</t>
  </si>
  <si>
    <t>Berichtsgrundlage (konsolidiert oder einzeln)</t>
  </si>
  <si>
    <t>An bonn le haghaidh tuairiscithe (bonn comhdhlúite nó ar bhonn aonair)</t>
  </si>
  <si>
    <t>Base per la rendicontazione (su base consolidata o individuale)</t>
  </si>
  <si>
    <t>Atskaitomybės pagrindas (konsoliduota ar individuali)</t>
  </si>
  <si>
    <t>Podstawa sprawozdawczości (w ujęciu skonsolidowanym lub jednostkowym)</t>
  </si>
  <si>
    <t>Base de reporte (consolidada ou individual)</t>
  </si>
  <si>
    <t>Osnova za poročilo (konsolidirana ali individualna osnova)</t>
  </si>
  <si>
    <t>Base para la presentación de informes (base consolidada o individual)</t>
  </si>
  <si>
    <t>template_label_undertakings_legal_form</t>
  </si>
  <si>
    <t>Undertakings legal form</t>
  </si>
  <si>
    <t>Virksomhedens juridiske form</t>
  </si>
  <si>
    <t>Rechtsvorm van de onderneming</t>
  </si>
  <si>
    <t>Forme juridique de l’entreprise</t>
  </si>
  <si>
    <t>Rechtsform des Unternehmens</t>
  </si>
  <si>
    <t>Foirm dhlíthiúil na ngnóthas</t>
  </si>
  <si>
    <t>Forma giuridica dell'impresa</t>
  </si>
  <si>
    <t>Įmonės teisinė forma</t>
  </si>
  <si>
    <t>Forma prawna jednostki</t>
  </si>
  <si>
    <t>Forma jurídica da empresa</t>
  </si>
  <si>
    <t>Pravna oblika podjetja</t>
  </si>
  <si>
    <t>Forma jurídica de la entidad</t>
  </si>
  <si>
    <t>template_label_other_undertakings_legal_form_specification</t>
  </si>
  <si>
    <t>Other undertaking's legal form specification</t>
  </si>
  <si>
    <t>Specifikation af anden juridisk form for virksomheden</t>
  </si>
  <si>
    <t>Specificatie van de rechtsvorm van de andere onderneming</t>
  </si>
  <si>
    <t>Autre spécification sur la forme juridique de entreprise</t>
  </si>
  <si>
    <t>"Sonstige" Rechtsform des Unternehmens</t>
  </si>
  <si>
    <t>Foirm dhlíthiúil an ghnóthais eile</t>
  </si>
  <si>
    <t>Dettagli sulla forma giuridica dell'impresa "altro"</t>
  </si>
  <si>
    <t>Kitos įmonės teisinės formos specifikacija</t>
  </si>
  <si>
    <t>Inna specyfikacja formy prawnej jednostki</t>
  </si>
  <si>
    <t>Especificação da forma jurídica de outra entidade</t>
  </si>
  <si>
    <t>Specifikacija druge pravne oblike podjetja</t>
  </si>
  <si>
    <t>Especificación de la forma jurídica de otra empresa</t>
  </si>
  <si>
    <t>template_label_nace_sector_classification_code</t>
  </si>
  <si>
    <t>NACE sector classification code(s)</t>
  </si>
  <si>
    <t>NACE sektor klassifikationskode(r)</t>
  </si>
  <si>
    <t>NACE-sectorclassificatiecode(s)</t>
  </si>
  <si>
    <t>Code(s) de la nomenclature sectorielle NACE</t>
  </si>
  <si>
    <t>NACE-Code(s) zur Klassifikation der Wirtschaftszweige</t>
  </si>
  <si>
    <t>Cód aicmithe earnála NACE</t>
  </si>
  <si>
    <t>Codice(i) di classificazione settoriale NACE</t>
  </si>
  <si>
    <t>NACE sektoriaus klasifikacijos kodas(-ai)</t>
  </si>
  <si>
    <t>Kod(y) klasyfikacji sektorowej NACE</t>
  </si>
  <si>
    <t xml:space="preserve">Código(s) NACE de classificação setorial </t>
  </si>
  <si>
    <t>Koda(-e) sektorske klasifikacije NACE</t>
  </si>
  <si>
    <t>Códigos de clasificación sectorial NACE</t>
  </si>
  <si>
    <t>template_label_size_of_balance_sheet_in</t>
  </si>
  <si>
    <t>Size of balance sheet (total assets) in</t>
  </si>
  <si>
    <t xml:space="preserve">Balancens størrelse (samlede aktiver) i </t>
  </si>
  <si>
    <t>Omvang van de balans (totale activa) in</t>
  </si>
  <si>
    <t>Total du bilan (total des actifs) en</t>
  </si>
  <si>
    <t>Bilanzsumme in</t>
  </si>
  <si>
    <t>Méid an chláir chomhardaithe (sócmhainní iomlána) i</t>
  </si>
  <si>
    <t>Entità dello stato patrimoniale (totale degli attivi)</t>
  </si>
  <si>
    <t>Balanso dydis (turtas iš viso), matavimo vienetai</t>
  </si>
  <si>
    <t>Wielkość bilansu (aktywa ogółem) w</t>
  </si>
  <si>
    <t>Valor do balanço (total de ativos) em</t>
  </si>
  <si>
    <t>Velikost bilančni sredstev (skupna sredstva v</t>
  </si>
  <si>
    <t>Volumen del balance (total de activos) en</t>
  </si>
  <si>
    <t>template_label_turnover_in</t>
  </si>
  <si>
    <t>Turnover in</t>
  </si>
  <si>
    <t>Omsætning (i)</t>
  </si>
  <si>
    <t>Omzet in</t>
  </si>
  <si>
    <t>Chiffre d'affaires en</t>
  </si>
  <si>
    <t>Umsatzerlöse in</t>
  </si>
  <si>
    <t>Láimhdeachas i</t>
  </si>
  <si>
    <t>Ricavi delle vendite e delle prestazioni</t>
  </si>
  <si>
    <t>Apyvarta (matavimo vienetai)</t>
  </si>
  <si>
    <t xml:space="preserve">Obrót w </t>
  </si>
  <si>
    <t>Volume de negócios em</t>
  </si>
  <si>
    <t>Promet v</t>
  </si>
  <si>
    <t>Volumen de negocios en</t>
  </si>
  <si>
    <t>template_label_number_of_employees</t>
  </si>
  <si>
    <t>Number of employees</t>
  </si>
  <si>
    <t>Antal ansatte</t>
  </si>
  <si>
    <t>Aantal werknemers</t>
  </si>
  <si>
    <t>Nombre de salariés</t>
  </si>
  <si>
    <t>Anzahl der Beschäftigten</t>
  </si>
  <si>
    <t>Líon na bhfostaithe</t>
  </si>
  <si>
    <t>Numero di dipendenti</t>
  </si>
  <si>
    <t>Darbuotojų skaičius</t>
  </si>
  <si>
    <t>Liczba pracowników</t>
  </si>
  <si>
    <t>Número de trabalhadores</t>
  </si>
  <si>
    <t>Število zaposlenih</t>
  </si>
  <si>
    <t>Número de asalariados</t>
  </si>
  <si>
    <t>template_label_employee_counting_methodology_end_of_reporting_period_or_average_during_the_reporting_period</t>
  </si>
  <si>
    <t>Employee counting methodology (At the end of reporting period or as an average during the reporting period)</t>
  </si>
  <si>
    <t>Metode til optælling af ansatte (ved udgangen af rapporteringsperioden eller som gennemsnit for rapporteringsperioden)</t>
  </si>
  <si>
    <t>Methodologie voor het tellen van werknemers (Aan het einde van de verslagperiode of als een gemiddelde gedurende de verslagperiode)</t>
  </si>
  <si>
    <t>Méthodologie de comptage des salariés (à la fin de la période de reporting, ou en moyenne pendant la période de reporting)</t>
  </si>
  <si>
    <t>Art der Zählung von Beschäftigten (am Ende des Berichtszeitraums oder als Durchschnitt während des Berichtszeitraums)</t>
  </si>
  <si>
    <t>Modheolaíocht comhairimh fostaithe (Ag deireadh na tréimhse tuairiscithe nó mar mheán le linn na tréimhse tuairiscithe)</t>
  </si>
  <si>
    <t>Metodologia di conteggio dei dipendenti (Alla fine del periodo di riferimento o come media durante il periodo di riferimento)</t>
  </si>
  <si>
    <t>Darbuotojų skaičiavimo metodika (skaičiuojama ataskaitinio laikotarpio pabaigoje ar išvedamas vidurkis per ataskaitinį laikotarpį)</t>
  </si>
  <si>
    <t>Metodologia liczenia pracowników (na koniec okresu sprawozdawczego lub jako średnia w trakcie okresu sprawozdawczego)</t>
  </si>
  <si>
    <t>Metodologia de contagem de trabalhadores (No final do período de relato ou como média durante o período de relato)</t>
  </si>
  <si>
    <t>Metodologija štetja zaposlenih (ob koncu obdobja zaposlovanja ali kot povprečje v obdobju zaposlovanja)</t>
  </si>
  <si>
    <t>Metodología para el recuento de empleados (Al final del período de informe o como promedio durante el período de informe)</t>
  </si>
  <si>
    <t>template_label_employee_counting_methodology_headcount_or_fulltime_equivalent</t>
  </si>
  <si>
    <t>Employee counting methodology (Headcount or Full-time equivalent)</t>
  </si>
  <si>
    <t>Metode til optælling af ansatte (antal personer eller fuldtidsækvivalenter)</t>
  </si>
  <si>
    <t>Werknemers telmethode (aantal personen of voltijdsequivalent - FTE)</t>
  </si>
  <si>
    <t>Méthodologie de comptage des salariés (effectif ou équivalent temps plein)</t>
  </si>
  <si>
    <t>Art der Zählung von Beschäftigten (Beschäftigtenzahl oder Vollzeitäquivalente)</t>
  </si>
  <si>
    <t>Modheolaíocht comhairimh fostaithe (Líon na nDaoine nó Coibhéis Lánaimseartha)</t>
  </si>
  <si>
    <t>Metodologia di conteggio dei dipendenti (Effettivi o equivalenti a tempo pieno)</t>
  </si>
  <si>
    <t>Darbuotojų skaičiavimo metodika (faktinis darbuotojų skaičius arba viso etato ekvivalentas)</t>
  </si>
  <si>
    <t>Metodologia liczenia pracowników (liczba zatrudnionych lubliczba ekwiwalentów pełnego czasu pracy)</t>
  </si>
  <si>
    <t>Metodologia de contagem de trabalhadores (Número de efetivos ou Equivalente a tempo completo)</t>
  </si>
  <si>
    <t>Metodologija štetja zaposlenih (število zaposlenih ali ekvivalent polnega delovnega časa)</t>
  </si>
  <si>
    <t>Metodología para el recuento de empleados (Número de personas o equivalente a jornada completa)</t>
  </si>
  <si>
    <t>template_label_country_of_primary_operations_and_location_of_significant_asset</t>
  </si>
  <si>
    <t>Country of primary operations and location of significant asset(s)</t>
  </si>
  <si>
    <t>Land for primære aktiviteter og placering af væsentlige aktiver</t>
  </si>
  <si>
    <t>Land waar de primaire bedrijfsactiviteiten plaatsvinden en de locatie van materiële activa</t>
  </si>
  <si>
    <t>Pays où sont exercées les activités principales et localisation d'un ou de plusieurs actifs présentant un intérêt significatif</t>
  </si>
  <si>
    <t>Land der Hauptgeschäftstätigkeit und Standort des/der wesentlichen Vermögenswerte(s)</t>
  </si>
  <si>
    <t>Tír príomhoibríochtaí agus suíomh sócmhainn(í) suntasacha</t>
  </si>
  <si>
    <t>Paese delle operazioni primarie e ubicazione degli attivi significativi</t>
  </si>
  <si>
    <t>Šalis, kurioje vykdoma pagrindinė veikla ir reikšmingo turto buvimo vieta(-os)</t>
  </si>
  <si>
    <t>Kraj, w którym jednostka prowadzi główną działalność i w którym są zlokalizowane jej znaczące aktywa</t>
  </si>
  <si>
    <t>País das operações principais e localização do(s) ativo(s) significativo(s)</t>
  </si>
  <si>
    <t>Država glavnih dejavnosti in lokacija pomembnega(-ih) sredstva(-ov)</t>
  </si>
  <si>
    <t>País de las operaciones principales y ubicación del activo o activos significativos</t>
  </si>
  <si>
    <t>template_label_b1_list_of_subsidiaries</t>
  </si>
  <si>
    <t>B1 - List of subsidiaries</t>
  </si>
  <si>
    <t>B1 - Liste over datterselskaber</t>
  </si>
  <si>
    <t>B1 - Lijst van dochterondernemingen</t>
  </si>
  <si>
    <t>B1 - Liste des filiales</t>
  </si>
  <si>
    <t>B1 - Liste der Tochterunternehmen</t>
  </si>
  <si>
    <t>B1 - Liosta na bhfochuideachtaí</t>
  </si>
  <si>
    <t>B1 - Elenco delle imprese figlie</t>
  </si>
  <si>
    <t>B1 - Dukterinių įmonių sąrašas</t>
  </si>
  <si>
    <t>B1 – Lista jednostek zależnych</t>
  </si>
  <si>
    <t>B1 - Lista de subsidiárias</t>
  </si>
  <si>
    <t>B1 - Seznam odvisnih družb</t>
  </si>
  <si>
    <t>B1 - Lista de filiales</t>
  </si>
  <si>
    <t>template_label_id</t>
  </si>
  <si>
    <t>ID</t>
  </si>
  <si>
    <t>Nr.</t>
  </si>
  <si>
    <t>Aitheantas</t>
  </si>
  <si>
    <t>template_label_name</t>
  </si>
  <si>
    <t>Name</t>
  </si>
  <si>
    <t>Navn</t>
  </si>
  <si>
    <t>Naam</t>
  </si>
  <si>
    <t>Nom</t>
  </si>
  <si>
    <t>Ainm</t>
  </si>
  <si>
    <t>Nome</t>
  </si>
  <si>
    <t>Pavadinimas</t>
  </si>
  <si>
    <t>Nazwa</t>
  </si>
  <si>
    <t>Ime</t>
  </si>
  <si>
    <t>Nombre</t>
  </si>
  <si>
    <t>template_label_registered_address</t>
  </si>
  <si>
    <t>Registered Address</t>
  </si>
  <si>
    <t>Registreret adresse</t>
  </si>
  <si>
    <t>Geregistreerd adres</t>
  </si>
  <si>
    <t>Adresse du siège social</t>
  </si>
  <si>
    <t>eingetragene Adresse (=offizielle Anschrift des Unternehmens)</t>
  </si>
  <si>
    <t>Seoladh Cláraithe</t>
  </si>
  <si>
    <t>Sede legale</t>
  </si>
  <si>
    <t>Registruotas adresas</t>
  </si>
  <si>
    <t>Adres siedziby</t>
  </si>
  <si>
    <t>Sede social</t>
  </si>
  <si>
    <t>Registrirani naslov</t>
  </si>
  <si>
    <t>Domicilio social</t>
  </si>
  <si>
    <t>template_label_b1_disclosure_of_sustainability_related_certification_or_label</t>
  </si>
  <si>
    <t>B1 - Disclosure of sustainability-related certification(s) or label(s)</t>
  </si>
  <si>
    <t>B1 - Oplysning om bæredygtighedsrelaterede certificeringer eller mærker</t>
  </si>
  <si>
    <t>B1 -  Rapportage van duurzaamheidsgerelateerde certificering(en) of label(s)</t>
  </si>
  <si>
    <t>B1 - Publication de la ou des certification(s) ou label(s) liés à la durabilité</t>
  </si>
  <si>
    <t>B1 - Angabe von nachhaltigkeitsbezogenen Zertifizierung(en) oder Siegel(n)</t>
  </si>
  <si>
    <t>Aon deimhniú nó lipéad i ndáil le hinbhuanaitheacht a nochtadh</t>
  </si>
  <si>
    <t>B1 - Informativa delle certificazioni o marchi di sostenibilità</t>
  </si>
  <si>
    <t>B1 - Su tvarumu susijusių sertifikatų ar ženklų atskleidimas</t>
  </si>
  <si>
    <t>B1 - Ujawnienie certyfikatów lub oznaczeń związanych ze zrównoważonym rozwojem</t>
  </si>
  <si>
    <t>B1 - Divulgação de certificação(ões) ou selo(s) relacionados com a sustentabilidade</t>
  </si>
  <si>
    <t>B1 - Razkritje certifikata(-ov) ali oznake(-) v zvezi s trajnostjo</t>
  </si>
  <si>
    <t>B1 - Divulgación de certificación(es) o etiqueta(s) relacionada(s) con la sostenibilidad</t>
  </si>
  <si>
    <t>template_label_has_the_undertaking_obtained_any_sustainability_related_certification_or_label</t>
  </si>
  <si>
    <t>Has the undertaking obtained any sustainability-related certification(s) or label(s) ?</t>
  </si>
  <si>
    <t>Har virksomheden opnået nogen bæredygtighedsrelaterede certificering(er) eller mærke(r)?</t>
  </si>
  <si>
    <t>Heeft de onderneming een of meer duurzaamheidsgerelateerde certificering(en) of label(s) verkregen?</t>
  </si>
  <si>
    <t>L'entreprise a-t-elle obtenu une ou plusieurs certification(s) ou label(s) liés à la durabilité ?</t>
  </si>
  <si>
    <t>Hat das Unternehmen nachhaltigkeitsbezogene Zertifizierung(en) oder Siegel erhalten?</t>
  </si>
  <si>
    <t>An bhfuair an gnóthas aon deimhniú nó lipéad i ndáil le hinbhuanaitheacht?</t>
  </si>
  <si>
    <t>L'impresa ha ottenuto una o più certificazioni o marchi di sostenibilità?</t>
  </si>
  <si>
    <t>Ar įmonė gavo kokių nors su tvarumu susijusių sertifikatų ar ženklų?</t>
  </si>
  <si>
    <t>Czy jednostka uzyskała jakikolwiek certyfikat lub oznaczenie związane ze zrównoważonym rozwojem?</t>
  </si>
  <si>
    <t>A empresa obteve alguma certificação ou selo relacionado com a sustentabilidade?</t>
  </si>
  <si>
    <t>Ali je podjetje pridobilo kakršne koli certifikate ali oznake, povezane s trajnostjo?</t>
  </si>
  <si>
    <t>¿Ha obtenido la empresa alguna certificación o etiqueta relacionada con la sostenibilidad?</t>
  </si>
  <si>
    <t>template_label_description_of_sustainability_related_certification_or_label</t>
  </si>
  <si>
    <t>Description of sustainability-related certification(s) or label(s) including where relevant the issuers of the certification or label date and rating score</t>
  </si>
  <si>
    <t>Beskrivelse af bæredygtighedsrelaterede certificeringer eller mærker (herunder, hvis det er relevant, udstederne af certificeringen eller mærket, dato og vurderingsscore)</t>
  </si>
  <si>
    <t>Indien de onderneming een duurzaamheidscertificering of -keurmerk heeft verkregen, verstrekt zij een korte beschrijving daarvan (met inbegrip van, in voorkomend geval, de instelling die de certificering of het keurmerk heeft afgegeven, de datum en de score).</t>
  </si>
  <si>
    <t>Si l’entreprise a obtenu une certification ou un label lié à la durabilité, elle en fournit une brève description (y compris, le cas échéant, les organismes qui délivrent la certification ou le label, la date et la notation).</t>
  </si>
  <si>
    <t>Beschreibung der nachhaltigkeitsbezogenen Zertifizierung(en) oder des/der Siegel(s), einschließlich, falls relevant, unter Angabe der Aussteller der Zertifizierung oder des Siegels, des Datums und der entsprechenden Einstufung</t>
  </si>
  <si>
    <t>Tuairisc ar dheimhniú(í) nó ar lipéad a bhaineann le hinbhuanaitheacht, lena n-áirítear, i gcás inarb ábhartha, eisitheoirí an deimhniúcháin nó an lipéad, dáta agus scór rátála</t>
  </si>
  <si>
    <t>Descrizione della/e certificazione/i o marchio/i di sostenibilità, includendo, se del caso, i soggetti che hanno rilasciato la certificazione o il marchio, la datadi rilascio e il punteggio di valutazione</t>
  </si>
  <si>
    <t>Jeigu įmonė gavo kokį nors su tvarumu susijusį sertifikatą arba ženklą, ji turi pateikti trumpą jų aprašymą (įskaitant, kur tai aktualu, sertifikato arba ženklo išdavėjų, datą ir vertinimo balą).</t>
  </si>
  <si>
    <t>Opis certyfikatu lub oznaczenia związanego ze zrównoważonym rozwojem, w tym, w stosownych przypadkach, wystawców certyfikatu lub oznaczenia, datę i wynik oceny</t>
  </si>
  <si>
    <t xml:space="preserve">Descrição das certificações ou selos relacionados com a sustentabilidade, incluindo, quando relevante, os emissores das certificações ou selos, a data e a pontuação atribuída.
</t>
  </si>
  <si>
    <t xml:space="preserve">Opis certifikata(-ov) ali oznake(-) v zvezi s trajnostjo, vključno z izdajatelji certifikata(-ov) ali oznake(-), datumom in oceno, kjer je to primerno </t>
  </si>
  <si>
    <t>Descripción de certificación(es) o etiqueta(s) relacionada(s) con la sostenibilidad, incluyendo, cuando proceda, las entidades emisoras de la certificación o etiqueta, la fecha y la puntuación de la valoración</t>
  </si>
  <si>
    <t>template_label_b1_list_of_site</t>
  </si>
  <si>
    <t>B1 - List of site(s)</t>
  </si>
  <si>
    <t>B1 - Liste over adresser og geolokation på væsentlige aktiver og anlæg, som virksomheden ejer, lejer eller forvalter</t>
  </si>
  <si>
    <t>B1 - Lijst van  bedrijfslocaties</t>
  </si>
  <si>
    <t>B1 - Liste des site(s)</t>
  </si>
  <si>
    <t>B1 - Liste der Standorte</t>
  </si>
  <si>
    <t>B1 - Liosta láithreáin/láithreán</t>
  </si>
  <si>
    <t>Elenco del/i sito(i) B1</t>
  </si>
  <si>
    <t>B1 - Objektų sąrašas</t>
  </si>
  <si>
    <t>B1 - Lista lokalizacji</t>
  </si>
  <si>
    <t>B1 - Lista de locais</t>
  </si>
  <si>
    <t>B1 - Seznam lokacij</t>
  </si>
  <si>
    <t>B1 - Listado de emplazamiento(s)</t>
  </si>
  <si>
    <t>template_label_address</t>
  </si>
  <si>
    <t>Address</t>
  </si>
  <si>
    <t>Adresse</t>
  </si>
  <si>
    <t>Adres</t>
  </si>
  <si>
    <t>Seoladh</t>
  </si>
  <si>
    <t>Indirizzo</t>
  </si>
  <si>
    <t>Adresas</t>
  </si>
  <si>
    <t>Morada</t>
  </si>
  <si>
    <t>Naslov</t>
  </si>
  <si>
    <t>Dirección</t>
  </si>
  <si>
    <t>template_label_postal_code</t>
  </si>
  <si>
    <t>Postal code</t>
  </si>
  <si>
    <t>Postnummer</t>
  </si>
  <si>
    <t>Postcode</t>
  </si>
  <si>
    <t>Code postal</t>
  </si>
  <si>
    <t>Postleitzahl</t>
  </si>
  <si>
    <t>Cód poist / Éirchód</t>
  </si>
  <si>
    <t>Codice postale</t>
  </si>
  <si>
    <t>Pašto kodas</t>
  </si>
  <si>
    <t>Kod pocztowy</t>
  </si>
  <si>
    <t>Código postal</t>
  </si>
  <si>
    <t>Poštna številka</t>
  </si>
  <si>
    <t>template_label_city</t>
  </si>
  <si>
    <t>City</t>
  </si>
  <si>
    <t>By</t>
  </si>
  <si>
    <t>Stad</t>
  </si>
  <si>
    <t>Ville</t>
  </si>
  <si>
    <t xml:space="preserve">Stadt
</t>
  </si>
  <si>
    <t>Cathair</t>
  </si>
  <si>
    <t>Città</t>
  </si>
  <si>
    <t xml:space="preserve">Miestas
</t>
  </si>
  <si>
    <t>Miasto</t>
  </si>
  <si>
    <t>Cidade</t>
  </si>
  <si>
    <t>Mesto</t>
  </si>
  <si>
    <t>Ciudad</t>
  </si>
  <si>
    <t>template_label_country</t>
  </si>
  <si>
    <t>Country</t>
  </si>
  <si>
    <t>Land</t>
  </si>
  <si>
    <t>Pays</t>
  </si>
  <si>
    <t>Tír</t>
  </si>
  <si>
    <t>Paese</t>
  </si>
  <si>
    <t>Šalis</t>
  </si>
  <si>
    <t>Kraj</t>
  </si>
  <si>
    <t>País</t>
  </si>
  <si>
    <t>Država</t>
  </si>
  <si>
    <t>template_label_gps_coordinates</t>
  </si>
  <si>
    <t>GPS Coordinates (geolocation)</t>
  </si>
  <si>
    <t>GPS-koordinater (geolokation)</t>
  </si>
  <si>
    <t>GPS Coördinaten (geolocatie)</t>
  </si>
  <si>
    <t>Coordonnées (géolocalisation)</t>
  </si>
  <si>
    <t>GPS-Koordinaten (Geoposition)</t>
  </si>
  <si>
    <t>Comhordanáidí GPS (geoshuíomh)</t>
  </si>
  <si>
    <t>Coordinate GPS (geolocalizzazione)</t>
  </si>
  <si>
    <t>GPS koordinatės (geolokacija)</t>
  </si>
  <si>
    <t>Współrzędne GPS (położenie geograficzne)</t>
  </si>
  <si>
    <t>Coordenadas GPS (geolocalização)</t>
  </si>
  <si>
    <t>GPS koordinate (geolokacija)</t>
  </si>
  <si>
    <t>Coordenadas GPS (geolocalización)</t>
  </si>
  <si>
    <t>template_label_automatic_geolocation</t>
  </si>
  <si>
    <t>Automatic geolocation: enabling the OpenStreetMaps's automatic geolocation with the checkbox below the undertaking is declaring to be fully aware and in acceptance of Nominatim Usage Policy and Privacy Policy.
OpenStreetMap® is open data licensed under the Open Data Commons Open Database License (ODbL) by the OpenStreetMap Foundation (OSMF). All data belong and are owned by OpenStreetMap®.</t>
  </si>
  <si>
    <t xml:space="preserve">Automatisk geolokalisering: Aktivering af OpenStreetMaps' automatiske geolokalisering med afkrydsningsfeltet nedenfor betyder, at virksomheden erklærer at være fuldt ud bekendt med og accepterer Nominatim Usage Policy og Privacy Policy.
OpenStreetMap® er åbne data licenseret under Open Data Commons Open Database License (ODbL) af OpenStreetMap Foundation (OSMF). Alle data tilhører og ejes af OpenStreetMap®.
</t>
  </si>
  <si>
    <t xml:space="preserve">Automatische geolocatie: het inschakelen van de automatische geolocatie van OpenStreetMaps met het selectievak hieronder impliceert dat de onderneming volledig op de hoogte is van en akkoord gaat met het Nominatim-gebruiksbeleid en het privacybeleid. 
OpenStreetMap® is open data die onder de Open Data Commons Open Database License (ODbL) door de OpenStreetMap Foundation (OSMF) wordt gelicentieerd. Alle data behoren toe aan en zijn eigendom van OpenStreetMap®.
</t>
  </si>
  <si>
    <t>Géolocalisation automatique : en activant la géolocalisation automatique d'OpenStreetMap avec la case à cocher ci-dessous, l'entreprise déclare être pleinement consciente et accepter la politique d'utilisation de Nominatim ainsi que la politique de confidentialité.
OpenStreetMap® est une base de données ouverte sous licence Open Data Commons Open Database License (ODbL) par la Fondation OpenStreetMap (OSMF). Toutes les données appartiennent et sont la propriété d'OpenStreetMap®.</t>
  </si>
  <si>
    <t>Automatische Geolokalisierung: Durch das Aktivieren der automatischen Geolokalisierung von OpenStreetMaps mit dem untenstehenden Kontrollkästchen erklärt das Unternehmen, die Nutzungsbedingungen von Nominatim und die Datenschutzerklärung ("Privacy Policy") vollständig zu kennen und zu akzeptieren. 
Bei OpenStreetMap® handelt es sich um offene Daten, lizenziert unter der Open Data Commons Open Database License (ODbL) der OpenStreetMap Foundation (OSMF). Alle Daten gehören OpenStreetMap®.</t>
  </si>
  <si>
    <t>Geoshuíomh uathoibríoch: ag cumasú geoshuíomh uathoibríoch OpenStreetMaps leis an seicbhosca thíos tá an gnóthas ag dearbhú go bhfuil sé ar an eolas go hiomlán agus go nglacann sé le Polasaí Úsáide agus Polasaí Príobháideachais Nominatim.
Is sonraí oscailte é OpenStreetMap® atá ceadúnaithe faoi Cheadúnas Bunachar Sonraí Oscailte Open Data Commons (ODbL) ag an OpenStreetMap Foundation (OSMF). Baineann na sonraí go léir le OpenStreetMap agus tá siad faoi úinéireacht OpenStreetMap®.</t>
  </si>
  <si>
    <t xml:space="preserve">Geolocalizzazione automatica: abilitando la geolocalizzazione automatica di OpenStreetMaps con la casella di controllo sottostante, l'impresa dichiara di essere pienamente consapevole e di accettare la Politica d'Uso di Nominatim e la Politica sulla Privacy. OpenStreetMap® è un dato a scelta con licenza Open Data Commons Open Database (ODbL) dalla OpenStreetMap Foundation (OSMF). Tutti i dati appartengono e sono di proprietà di OpenStreetMap®.
</t>
  </si>
  <si>
    <t>Automatinė geolokacija: įjungus „OpenStreetMap“ automatinę geolokaciją pažymint toliau esantį žymimąjį langelį, įmonė patvirtina, kad yra pilnai susipažinęs su Nominatim naudojimo politika ir privatumo politika ir joms pritaria.
„OpenStreetMap®“ yra atviri duomenys, licencijuojami pagal Open Data Commons Open Database License (ODbL), kurią suteikia OpenStreetMap Foundation (OSMF). Visi duomenys priklauso ir yra valdomi „OpenStreetMap®“.</t>
  </si>
  <si>
    <t xml:space="preserve">Automatyczna geolokalizacja: włączenie automatycznej geolokalizacji OpenStreetMaps za pomocą pola wyboru poniżej oznacza, że jednostka oświadcza, że jest w pełni świadoma i akceptuje Politykę użytkowania Nominatim oraz Politykę prywatności.
OpenStreetMap® to otwarte dane licencjonowane na podstawie Open Data Commons Open Database License (ODbL) przez OpenStreetMap Foundation (OSMF). Wszystkie dane należą do OpenStreetMap® i są jego własnością. </t>
  </si>
  <si>
    <t>Geolocalização automática: ao ativar a geolocalização automática do OpenStreetMaps com a caixa de seleção abaixo, a empresa declara estar plenamente ciente e aceitar a Política de Utilização do Nominatim e a Política de Privacidade .
O OpenStreetMap® é um conjunto de dados abertos licenciado sob a Open Data Commons Open Database License (ODbL) pela OpenStreetMap Foundation (OSMF). Todos os dados pertencem e são propriedade do OpenStreetMap®</t>
  </si>
  <si>
    <t>Samodejna geolokacija: z omogočanjem samodejne geolokacije OpenStreetMaps s potrditvenim poljem pod njim podjetje izjavlja, da se v celoti zaveda in sprejema Pravilnik o uporabi in Pravilnik o zasebnosti Neminatim. OpenStreetMap® je odprti podatki, licencirani v skladu z licenco Open Data Commons Open Database License (ODbL) fundacije OpenStreetMap Foundation (OSMF). Vsi podatki pripadajo in so last OpenStreetMap®.</t>
  </si>
  <si>
    <t xml:space="preserve">Geolocalización automática: Al activar la geolocalización automática de OpenStreetMaps con la casilla de verificación a continuación, la empresa declara ser plenamente consciente y acepta la Política de uso de Nominatim y la Política de privacidad.
OpenStreetMap® es datos abiertos licenciados bajo la Licencia Abierta de Bases de Datos (ODbL) de Open Data Commons por la Fundación OpenStreetMap (OSMF). Todos los datos pertenecen y son propiedad de OpenStreetMap®.
</t>
  </si>
  <si>
    <t>template_label_b2_practices_policies_and_future_initiatives_for_transitioning_towards_a_more_sustainable_economy</t>
  </si>
  <si>
    <t>B2 - Practices, policies and future initiatives for transitioning towards a more sustainable economy</t>
  </si>
  <si>
    <t>B2 – Praksisser, politikker og fremtidige initiativer for omstilling til en mere bæredygtig økonomi</t>
  </si>
  <si>
    <t>B2 — Praktijken, beleid en toekomstige initiatieven voor de transitie naar een duurzamere economie</t>
  </si>
  <si>
    <t>B2 – Pratiques, politiques et initiatives futures en vue de la transition vers une économie plus durable</t>
  </si>
  <si>
    <t>B2 – Verfahrensweisen, Richtlinien und künftige Initiativen für den Übergang zu einer nachhaltigeren Wirtschaft</t>
  </si>
  <si>
    <t>B2 – Cleachtais, beartais agus tionscnaimh amach anseo chun aistriú i dtreo geilleagar níos inbhuanaithe</t>
  </si>
  <si>
    <t>B2 –   Pratiche, politiche e iniziative future per la transizione verso un'economia più sostenibile</t>
  </si>
  <si>
    <t>B2 - Praktikos, politikos ir būsimos iniciatyvos pereinant prie tvaresnės ekonomikos</t>
  </si>
  <si>
    <t>B2 – Praktyki, polityki i przyszłe inicjatywy na rzecz przejścia na bardziej zrównoważoną gospodarkę</t>
  </si>
  <si>
    <t>B2 — Práticas, políticas e iniciativas futuras para a transição para uma economia mais sustentável</t>
  </si>
  <si>
    <t>B2 – Prakse, politik in prihodnje pobude za prehod na bolj trajnostno gospodarstvo</t>
  </si>
  <si>
    <t>B2 – Prácticas, políticas e iniciativas futuras para la transición hacia una economía más sostenible</t>
  </si>
  <si>
    <t>template_label_has_the_undertaking_put_in_place_specific_practices_policies_and_or_future</t>
  </si>
  <si>
    <t>Has the undertaking put in place specific practices policies and or future initiatives for transitioning towards a more sustainable economy?</t>
  </si>
  <si>
    <t>Har virksomheden indført specifikke praksisser, politikker og/eller fremtidige initiativer til at støtte omstillingen mod en mere bæredygtig økonomi?</t>
  </si>
  <si>
    <t>Heeft de onderneming specifieke praktijken, beleidsmaatregelen en/of toekomstige initiatieven ingevoerd voor de transitie naar een duurzamere economie?</t>
  </si>
  <si>
    <t>L’entreprise a-t-elle mis en place des pratiques, des politiques ou des initiatives futures spécifiques en vue de la transition vers une économie plus durable ?</t>
  </si>
  <si>
    <t>Hat das Unternehmen spezifische Verfahrensweisen, Richtlinien oder künftige Initiativen für den Übergang zu einer nachhaltigeren Wirtschaft eingeführt?</t>
  </si>
  <si>
    <t>An bhfuil cleachtais shonracha, beartais agus/nó tionscnaimh amach anseo curtha i bhfeidhm ag an ngnóthas chun aistriú i dtreo geilleagar níos inbhuanaithe?</t>
  </si>
  <si>
    <t>L'impresa ha predisposto pratiche, politiche e/o iniziative future specifiche per la transizione verso un'economia più sostenibile?</t>
  </si>
  <si>
    <t>Ar įmonė yra įdiegusi konkrečias praktikas, politikas arba būsimas iniciatyvas siekiant pereiti prie tvaresnės ekonomikos?</t>
  </si>
  <si>
    <t>Czy jednostka wprowadziła konkretne praktyki, polityki i/lub przyszłe inicjatywy na rzecz przejścia na bardziej zrównoważoną gospodarkę?</t>
  </si>
  <si>
    <t>A empresa adotou práticas específicas, políticas e/ou iniciativas futuras para a transição para uma economia mais sustentável?</t>
  </si>
  <si>
    <t>Ali je podjetje uvedlo posebne prakse, politike in/ali prihodnje pobude za prehod na bolj trajnostno gospodarstvo?</t>
  </si>
  <si>
    <t>¿Ha establecido la empresa prácticas, políticas y/o iniciativas futuras específicas para la transición hacia una economía más sostenible?</t>
  </si>
  <si>
    <t>template_label_sustainability_issues_addressed_by_a_practice_policy_and_or_future_initiatives_put_in_place</t>
  </si>
  <si>
    <t>Sustainability issues addressed by a practice policy and or future initiatives that the undertaking has put in place</t>
  </si>
  <si>
    <t xml:space="preserve">Bæredygtighedsrelateret udfordring, der håndteres gennem en praksis, politik og/eller fremtidige initiativer, som virksomheden har indført </t>
  </si>
  <si>
    <t>Duurzaamheidskwesties die worden aangepakt door een praktijkbeleid en/of toekomstige initiatieven die de onderneming heeft ingevoerd</t>
  </si>
  <si>
    <t>Enjeux de durabilité traités par des pratiques, politiques, et/ou initiatives futures mises en place par l’entreprise</t>
  </si>
  <si>
    <t>Nachhaltigkeitsaspekte, die durch eine Verfahrensweise, Richtlinie und/oder künftige Initiativen, die das Unternehmen eingeführt hat, adressiert werden</t>
  </si>
  <si>
    <t>Saincheisteanna inbhuanaitheachta a thugtar aghaidh ar bheartas cleachtais agus/nó tionscnaimh a bheidh ann amach anseo atá curtha i bhfeidhm ag an ngnóthas</t>
  </si>
  <si>
    <t xml:space="preserve">Questioni attinenti alla sostenibilità affrontate da una pratica, politica e/o iniziative future che l'impresa ha predisposto
</t>
  </si>
  <si>
    <t xml:space="preserve">Tvarumo klausimai, kuriuos sprendžia praktikos politika ir (arba) būsimos iniciatyvos, kurias įmonė įgyvendino
</t>
  </si>
  <si>
    <t>Kwestie zrównoważonego rozwoju uwzględnione w praktykach, politykach i/lub przyszłych inicjatywach wprowadzonych przez jednostkę</t>
  </si>
  <si>
    <t>Questões de sustentabilidade abordadas por uma política prática e/ou iniciativas futuras que a empresa tenha implementado</t>
  </si>
  <si>
    <t>Vprašanja v zvezi s trajnostnostjo, ki jih obravnava politika, prakse in/ali prihodnje pobude, ki jih je podjetje uvedlo</t>
  </si>
  <si>
    <t>Cuestiones de sostenibilidad abordadas por prácticas, políticas y/o futuras iniciativas que la empresa ha implementado</t>
  </si>
  <si>
    <t>template_label_undertaking_has_a_practice_policy_and_or_future_initiative_that_is_publicly_available</t>
  </si>
  <si>
    <t>Undertaking has a practice policy and or future initiative that is publicly available</t>
  </si>
  <si>
    <t>Virksomheden har en indsats, politik og/eller et fremtidigt initiativ, der er offentligt tilgængeligt</t>
  </si>
  <si>
    <t>Indien de onderneming een praktijkbeleid en/of toekomstig initiatief heeft dat publiek beschikbaar is</t>
  </si>
  <si>
    <t>L'entreprise dispose d'une pratique, d'une politique et/ou d'une initiative future qui est accessible au public.</t>
  </si>
  <si>
    <t>Das Unternehmen verfügt über eine Verfahrensweise, Richtlinie und/oder eine zukünftige Initiative, die öffentlich verfügbar ist.</t>
  </si>
  <si>
    <t>Tá beartas cleachtais agus/nó tionscnamh a bheidh ann amach anseo ag gnóthas atá ar fáil go poiblí</t>
  </si>
  <si>
    <t xml:space="preserve">L'impresa ha una pratica, politica e/o un'iniziativa futura che è disponibile al pubblico
</t>
  </si>
  <si>
    <t>Įmonė turi šiam tikslui skirtą praktikos politiką ir (arba) būsimą iniciatyvą, kuri yra viešai prieinama</t>
  </si>
  <si>
    <t>Jednostka posiada praktykę, politykę i/lub przyszłą inicjatywę, która jest publicznie dostępna</t>
  </si>
  <si>
    <t>A empresa tem uma política prática e/ou iniciativa futura que está disponível publicamente</t>
  </si>
  <si>
    <t>Podjetje ima javno dostopno politiko delovanja in/ali prihodnjo pobudo.</t>
  </si>
  <si>
    <t>La empresa tiene una política de prácticas y/o una iniciativa futura que está disponible públicamente.</t>
  </si>
  <si>
    <t>template_label_undertaking_has_set_a_target_which_is_related_to_a_policy</t>
  </si>
  <si>
    <t>Undertaking has set a target which is related to a policy</t>
  </si>
  <si>
    <t>Virksomheden har fastsat et mål, der relaterer sig til en politik</t>
  </si>
  <si>
    <t>De onderneming heeft een streefdoel gesteld dat verband houdt met een beleid</t>
  </si>
  <si>
    <t xml:space="preserve">L’entreprise a fixé une cible qui est liée à une politique. </t>
  </si>
  <si>
    <t>Das Unternehmen hat ein Ziel festgelegt, das mit einer Richtlinie zusammenhängt.</t>
  </si>
  <si>
    <t>Tá sprioc leagtha síos ag an ngnóthas a bhaineann le beartas</t>
  </si>
  <si>
    <t>L'impresa ha stabilito un obiettivo che è collegato a una politica</t>
  </si>
  <si>
    <t>Įmonė yra nustačiusi tikslą, susijusį su šia politika</t>
  </si>
  <si>
    <t>Jednostka wyznaczyła cel związany z polityką</t>
  </si>
  <si>
    <t>A empresa fixou um objetivo relacionado com uma política</t>
  </si>
  <si>
    <t>Podjetje si je zastavilo cilj, ki je povezan s politiko</t>
  </si>
  <si>
    <t>La empresa ha establecido un objetivo que está relacionado con una política</t>
  </si>
  <si>
    <t>template_label_climate_change</t>
  </si>
  <si>
    <t>Klimaforandringer</t>
  </si>
  <si>
    <t>Klimaatverandering</t>
  </si>
  <si>
    <t>Changement climatique</t>
  </si>
  <si>
    <t>Klimawandel</t>
  </si>
  <si>
    <t>Athrú aeráide</t>
  </si>
  <si>
    <t>Cambiamenti climatici</t>
  </si>
  <si>
    <t>Klimato kaita</t>
  </si>
  <si>
    <t>Zmiana klimatu</t>
  </si>
  <si>
    <t>Alterações climáticas</t>
  </si>
  <si>
    <t>Podnebne spremembe</t>
  </si>
  <si>
    <t>Cambio climático</t>
  </si>
  <si>
    <t>template_label_pollution</t>
  </si>
  <si>
    <t xml:space="preserve">Forurening </t>
  </si>
  <si>
    <t>Verontreiniging</t>
  </si>
  <si>
    <t>Umweltverschmutzung</t>
  </si>
  <si>
    <t>Truailliú</t>
  </si>
  <si>
    <t>Inquinamento</t>
  </si>
  <si>
    <t>Tarša</t>
  </si>
  <si>
    <t>Zanieczyszczenie</t>
  </si>
  <si>
    <t>Poluição</t>
  </si>
  <si>
    <t>Onesnaženje</t>
  </si>
  <si>
    <t>Contaminación</t>
  </si>
  <si>
    <t>template_label_water_and_marine_resources</t>
  </si>
  <si>
    <t>Vand- og havressourcer</t>
  </si>
  <si>
    <t>Water en mariene hulpbronnen</t>
  </si>
  <si>
    <t>Ressources hydriques et marines</t>
  </si>
  <si>
    <t>Wasser- und Meeresressourcen</t>
  </si>
  <si>
    <t>Acmhainní uisce agus mara</t>
  </si>
  <si>
    <t>Acque e risorse marine</t>
  </si>
  <si>
    <t>Vandens ir jūrų ištekliai</t>
  </si>
  <si>
    <t>Woda i zasoby morskie</t>
  </si>
  <si>
    <t>Água e recursos marinhos</t>
  </si>
  <si>
    <t>Vodni in morski viri</t>
  </si>
  <si>
    <t>Agua y recursos marinos</t>
  </si>
  <si>
    <t>template_label_biodiversity_and_ecosystems</t>
  </si>
  <si>
    <t>Biodiversitet og økosystemer</t>
  </si>
  <si>
    <t>Biodiversiteit en ecosystemen</t>
  </si>
  <si>
    <t>Biodiversité et écosystèmes</t>
  </si>
  <si>
    <t>Biodiversität und Ökosysteme</t>
  </si>
  <si>
    <t>Bithéagsúlacht agus éiceachórais</t>
  </si>
  <si>
    <t>Biodiversità ed ecosistemi</t>
  </si>
  <si>
    <t>Biologinė įvairovė ir ekosistemos</t>
  </si>
  <si>
    <t>Bioróżnorodność i ekosystemy</t>
  </si>
  <si>
    <t>Biodiversidade e ecossistemas</t>
  </si>
  <si>
    <t>Biotska raznovrstnost in ekosistemi</t>
  </si>
  <si>
    <t>Biodiversidad y ecosistemas</t>
  </si>
  <si>
    <t>template_label_circular_economy</t>
  </si>
  <si>
    <t>Cirkulær økonomi</t>
  </si>
  <si>
    <t>Circulaire economie</t>
  </si>
  <si>
    <t>Économie circulaire</t>
  </si>
  <si>
    <t>Kreislaufwirtschaft</t>
  </si>
  <si>
    <t>Geilleagar ciorclach</t>
  </si>
  <si>
    <t>Economia circolare</t>
  </si>
  <si>
    <t>Žiedinė ekonomika</t>
  </si>
  <si>
    <t>Gospodarka o obiegu zamkniętym</t>
  </si>
  <si>
    <t>Economia circular</t>
  </si>
  <si>
    <t>Krožno gospodarstvo</t>
  </si>
  <si>
    <t>Economía circular</t>
  </si>
  <si>
    <t>template_label_own_workforce</t>
  </si>
  <si>
    <t>Egen arbejdsstyrke</t>
  </si>
  <si>
    <t>Eigen personeel</t>
  </si>
  <si>
    <t>Personnel de l'entreprise</t>
  </si>
  <si>
    <t>Eigene Arbeitskräfte</t>
  </si>
  <si>
    <t>Lucht saothair féin</t>
  </si>
  <si>
    <t>Forza lavoro propria</t>
  </si>
  <si>
    <t>Sava darbo jėga</t>
  </si>
  <si>
    <t>Własne zasoby pracownicze</t>
  </si>
  <si>
    <t>Mão de obra própria</t>
  </si>
  <si>
    <t>Lastna delovna sila</t>
  </si>
  <si>
    <t>Personal propio</t>
  </si>
  <si>
    <t>template_label_workers_in_the_value_chain</t>
  </si>
  <si>
    <t>Arbejdstagere i værdikæden</t>
  </si>
  <si>
    <t>Werknemers in de waardeketen</t>
  </si>
  <si>
    <t>Travailleurs de la chaîne de valeur</t>
  </si>
  <si>
    <t>Arbeitskräfte in der Wertschöpfungskette</t>
  </si>
  <si>
    <t>Oibrithe sa slabhra luacha</t>
  </si>
  <si>
    <t xml:space="preserve">Lavoratori nella catena del valore
</t>
  </si>
  <si>
    <t>Vertės grandinės darbuotojai</t>
  </si>
  <si>
    <t>Osoby wykonujące pracę w łańcuchu wartości</t>
  </si>
  <si>
    <t>Trabalhadores na cadeia de valor</t>
  </si>
  <si>
    <t>Delavci v vrednostni verigi</t>
  </si>
  <si>
    <t>Trabajadores en la cadena de valor</t>
  </si>
  <si>
    <t>template_label_affected_communities</t>
  </si>
  <si>
    <t>Berørte samfund</t>
  </si>
  <si>
    <t>Getroffen gemeenschappen</t>
  </si>
  <si>
    <t>Communautés affectées</t>
  </si>
  <si>
    <t>Betroffene Gemeinschaften</t>
  </si>
  <si>
    <t>Pobail atá buailte</t>
  </si>
  <si>
    <t xml:space="preserve">Comunità interessate
</t>
  </si>
  <si>
    <t>Paveiktos bendruomenės</t>
  </si>
  <si>
    <t>Dotknięte społeczności</t>
  </si>
  <si>
    <t>Comunidades afetadas</t>
  </si>
  <si>
    <t>Prizadete skupnosti</t>
  </si>
  <si>
    <t>Comunidades afectadas</t>
  </si>
  <si>
    <t>template_label_consumers_and_endusers</t>
  </si>
  <si>
    <t>Forbrugere og slutbrugere</t>
  </si>
  <si>
    <t>Consumenten en eindgebruikers</t>
  </si>
  <si>
    <t>Consommateurs et utilisateurs finaux</t>
  </si>
  <si>
    <t>Verbraucher und Endnutzer</t>
  </si>
  <si>
    <t>Tomhaltóirí agus úsáideoirí deiridh</t>
  </si>
  <si>
    <t>Consumatori e utilizzatori finali</t>
  </si>
  <si>
    <t>Vartotojai ir galutiniai naudotojai</t>
  </si>
  <si>
    <t>Konsumenci i użytkownicy końcowi</t>
  </si>
  <si>
    <t>Consumidores e utilizadores finais</t>
  </si>
  <si>
    <t>Potrošniki in končni uporabniki</t>
  </si>
  <si>
    <t>Consumidores y usuarios finales</t>
  </si>
  <si>
    <t>template_label_business_conduct</t>
  </si>
  <si>
    <t xml:space="preserve">Virksomhedsledelse </t>
  </si>
  <si>
    <t>Zakelijik gedrag</t>
  </si>
  <si>
    <t>Conduite des affaires</t>
  </si>
  <si>
    <t>Unternehmenspolitik</t>
  </si>
  <si>
    <t>Iompar gnó</t>
  </si>
  <si>
    <t>Condotta delle imprese</t>
  </si>
  <si>
    <t>Verslo etika</t>
  </si>
  <si>
    <t>Postępowanie w biznesie</t>
  </si>
  <si>
    <t>Conduta empresarial</t>
  </si>
  <si>
    <t>Poslovno ravnanje</t>
  </si>
  <si>
    <t>Conducta empresarial</t>
  </si>
  <si>
    <t>template_label_b2_cooperative_specific_disclosures</t>
  </si>
  <si>
    <t>B2 - Cooperative specific disclosures</t>
  </si>
  <si>
    <t>B2 - Samarbejdsspecifikke oplysninger</t>
  </si>
  <si>
    <t>B2 - Coöperatieve specifieke openbaarmakingen</t>
  </si>
  <si>
    <t>B2 - Divulgations propres aux coopératives</t>
  </si>
  <si>
    <t>B2 - Genossenschaftsspezifische Angaben</t>
  </si>
  <si>
    <t>B2 - Nochtadh sonrach do chomharchumann</t>
  </si>
  <si>
    <t>B2 - Informative specifiche per cooperative</t>
  </si>
  <si>
    <t>B2 - Konkrečios kooperatyvų informacijos atskleidimas</t>
  </si>
  <si>
    <t>B2 - Ujawnianie informacji na temat współpracy</t>
  </si>
  <si>
    <t>B2 - Divulgações específicas da cooperativa</t>
  </si>
  <si>
    <t>B2 - Razkritja, specifična za zadruge</t>
  </si>
  <si>
    <t>B2 - Información específica de la cooperativa</t>
  </si>
  <si>
    <t>template_label_effective_participation_of_workers_users_or_other_interested_parties_or_communities_in_governance</t>
  </si>
  <si>
    <t>Effective participation of workers users or other interested parties or communities in governance</t>
  </si>
  <si>
    <t>Effektiv deltagelse af arbejdstagere, brugere eller andre interesserede parter eller lokalsamfund i ledelsen</t>
  </si>
  <si>
    <t>Effectieve participatie van werknemers, gebruikers of andere belanghebbenden of gemeenschappen in governance</t>
  </si>
  <si>
    <t>Participation effective des travailleurs, des utilisateurs ou d'autres parties ou communautés intéressées à la gouvernance</t>
  </si>
  <si>
    <t>Die wirksame Beteiligung von Arbeitskräften, Nutzern oder anderen interessierten Parteien oder Gemeinschaften an der Governance</t>
  </si>
  <si>
    <t>Rannpháirtíocht éifeachtach oibrithe, úsáideoirí nó páirtithe leasmhara eile nó pobail leasmhara i rialachas</t>
  </si>
  <si>
    <t>Se l'impresa è una cooperativa, può comunicare: la partecipazione effettiva alla governance dei lavoratori, utilizzatori e altre parti o comunità interessate.</t>
  </si>
  <si>
    <t>Aktyvus darbuotojų, naudotojų ar kitų suinteresuotųjų šalių ar bendruomenių dalyvavimas valdymo procesuose</t>
  </si>
  <si>
    <t>Efektywny udział pracowników, użytkowników lub innych zainteresowanych stron lub społeczności w ładzie korporacyjnym</t>
  </si>
  <si>
    <t>A participação efetiva dos trabalhadores, utilizadores ou outras partes interessadas ou comunidades na governação</t>
  </si>
  <si>
    <t>Učinkovito sodelovanje delavcev, uporabnikov ali drugih zainteresiranih strani ali skupnosti pri upravljanju</t>
  </si>
  <si>
    <t>La participación efectiva de los trabajadores, usuarios u otras partes interesadas o colectivos en la gobernanza</t>
  </si>
  <si>
    <t>template_label_financial_investment_in_the_capital_or_assets_of_social_economy_entities</t>
  </si>
  <si>
    <t>Financial investment in the capital or assets of social economy entities referred to in the Council Recommendation of 29 September 2023 (excluding donations and contributions)</t>
  </si>
  <si>
    <t>Finansielle investeringer i kapital eller aktiver i sociale økonomi-enheder, jf. Rådets anbefaling af 29. september 2023 (eksklusive donationer og bidrag)</t>
  </si>
  <si>
    <t>De financiële investering in het kapitaal of de activa van " Social enterprises" (entiteiten actief in het sociale domein), als bedoeld in de aanbeveling van de Raad van 29 september 2023 (met uitzondering van donaties en bijdragen)</t>
  </si>
  <si>
    <t>Investissements financiers dans le capital ou les actifs des entités de l’économie sociale visées par la recommandation du Conseil du 29 septembre 2023 (à l’exclusion des dons et contributions)</t>
  </si>
  <si>
    <t>Die finanzielle Investition in das Kapital oder die Vermögenswerte sozialwirtschaftlicher Einrichtungen, auf die sich die Empfehlung des Rates vom 29. September 2023 bezieht (ausgenommen Spenden und Zuwendungen)</t>
  </si>
  <si>
    <t>Infheistíocht airgeadais i gcaipiteal nó i sócmhainní eintiteas aonán geilleagair shóisialta dá dtagraítear i Moladh ón gComhairle an 29 Meán Fómhair 2023 (gan síntiúis agus ranníocaíochtaí a áireamh)</t>
  </si>
  <si>
    <t>L'investimento finanziario nel capitale o negli attivi dei soggetti dell'economia sociale di cui alla Raccomandazione del Consiglio del 29 settembre 2023 (escluse le donazioni e i contributi)</t>
  </si>
  <si>
    <t>Finansinės investicijos į socialinės ekonomikos subjektų kapitalą ar turtą, nurodytą 2023 m. rugsėjo 29 d. Tarybos rekomendacijoje (išskyrus dovanas ir įnašus)</t>
  </si>
  <si>
    <t>Inwestycje finansowe w kapitał lub aktywa podmiotów gospodarki społecznej, o których mowa w zaleceniu Rady z dnia 29 września 2023 r. (z wyłączeniem darowizn i składek)</t>
  </si>
  <si>
    <t>O investimento financeiro no capital ou nos ativos das entidades da economia social a que se refere a Recomendação do Conselho de 29 de setembro de 2023 (excluindo donativos e contribuições)</t>
  </si>
  <si>
    <t>Finančne naložbe v kapital ali sredstva subjektov socialnega gospodarstva iz Priporočila Sveta z dne 29. septembra 2023 (brez donacij in prispevkov)</t>
  </si>
  <si>
    <t>la inversión financiera en el capital o los activos de las entidades de economía social a que se refiere la Recomendación del Consejo de 29 de septiembre de 2023 (excluidas las donaciones y las contribuciones)</t>
  </si>
  <si>
    <t>template_label_limits_to_the_distribution_of_profits</t>
  </si>
  <si>
    <t>Any limits to the distribution of profits connected to the mutualistic nature or to the nature of the activities consisting in services of general economic interest (SGEI)</t>
  </si>
  <si>
    <t>Eventuelle begrænsninger i udbytteudlodning, der relaterer sig til den mutualistiske karakter eller til aktiviteter bestående i tjenester af almen økonomisk interesse (SGEI)</t>
  </si>
  <si>
    <t>Eventuele beperkingen van de winstuitkering in verband met het wederzijdse karakter of de aard van de activiteiten die bestaan uit diensten van algemeen economisch belang (DAEB)</t>
  </si>
  <si>
    <t>Limites à la distribution des bénéfices du fait du caractère mutualiste ou de la nature des activités exercées valant services d’intérêt économique général</t>
  </si>
  <si>
    <t>Beschränkungen der Gewinnausschüttung im Zusammenhang mit dem gegenseitigen Charakter oder der Art der Tätigkeiten, die in Dienstleistungen von allgemeinem wirtschaftlichem Interesse (DAWI) bestehen</t>
  </si>
  <si>
    <t>Aon teorainn le dáileadh na mbrabús atá bainteach le cineál comharaíochta nó le cineál na ngníomhaíochtaí atá comhdhéanta de sheirbhísí lena ngabhann leas eacnamaíoch ginearálta (SGEI)</t>
  </si>
  <si>
    <t>Eventuali limiti alla distribuzione degli utili connessi alla natura mutualistica o alla natura delle attività che consistono in servizi di interesse economico generale (SIEG)</t>
  </si>
  <si>
    <t>Bet kokie pelno paskirstymo apribojimai, susiję su viešuoju interesu arba su veikla, kuria teikiamos bendrojo ekonominio intereso paslaugos (SGEI)</t>
  </si>
  <si>
    <t>Wszelkie ograniczenia w podziale zysków związane z wzajemnym charakterem lub specyfiką działalności polegającej na świadczeniu usług świadczonych w ogólnym interesie gospodarczym (UOIG).</t>
  </si>
  <si>
    <t>Quaisquer limites à distribuição de lucros ligados à natureza mutualista ou à natureza das atividades que consistem em serviços de interesse económico geral (SIEG)</t>
  </si>
  <si>
    <t xml:space="preserve">Kakršne koli omejitve pri razdelitvi dobička, povezane z vzajemno naravo ali naravo dejavnosti, ki vključujejo storitve splošnega gospodarskega pomena </t>
  </si>
  <si>
    <t>Cualquier límite a la distribución de beneficios vinculado a la naturaleza mutualista o a la naturaleza de las actividades consistentes en servicios de interés económico general (SGEI)</t>
  </si>
  <si>
    <t>template_label_c2_description_of_practices_policies_and_future_initiatives_for_transitioning_towards_a_more_sustainable_economy</t>
  </si>
  <si>
    <t>C2 - Description of practices policies and future initiatives for transitioning towards a more sustainable economy</t>
  </si>
  <si>
    <t>C2 – Beskrivelse af praksisser, politikker og fremtidige initiativer for omstillingen til en mere bæredygtig økonomi</t>
  </si>
  <si>
    <t>C2 – Beschreibung von Verfahrensweisen, Richtlinien und künftigen Initiativen für den Übergang zu einer nachhaltigeren Wirtschaft</t>
  </si>
  <si>
    <t>C2 – Tuairisc ar chleachtais, beartais agus tionscnaimh amach anseo chun aistriú i dtreo geilleagar níos inbhuanaithe</t>
  </si>
  <si>
    <t>C2 - Perėjimo prie tvaresnės ekonomikos praktikos, politikos ir būsimų iniciatyvų aprašymas</t>
  </si>
  <si>
    <t>C2 — Descrição das práticas, políticas e iniciativas futuras para a transição para uma economia mais sustentável</t>
  </si>
  <si>
    <t>C2 – Opis praks, politik in prihodnjih pobud za prehod na bolj trajnostno gospodarstvo</t>
  </si>
  <si>
    <t>template_label_description_of_a_practice_policy_and_or_future_initiative_towards_a_more_sustainable_future</t>
  </si>
  <si>
    <t>Description of a practice policy and or future initiative towards a more sustainable future (In case the practice  policy  future initiative covers suppliers or clients the undertaking shall mention it)</t>
  </si>
  <si>
    <t>Beskrivelse af en praksis, politik eller fremtidigt initiativ for omstillingen mod en mere bæredygtig økonomi
(I tilfælde hvor praksis/politik/fremtidigt initiativ omfatter leverandører eller kunder, skal virksomheden nævne dette)</t>
  </si>
  <si>
    <t>Beschrijving van een praktijkbeleid en/of toekomstige initiatief richting een duurzamere toekomst (indien het praktijkbeleid of toekomstige initiatief leveranciers of klanten betreft, dient de onderneming dit te vermelden)</t>
  </si>
  <si>
    <t>Description d'une pratique, d'une politique et/ou d'une initiative future en vue d'un avenir plus durable (Si la pratique, la politique ou l'initiative future concerne des fournisseurs ou des clients, l'entreprise doit le mentionner)</t>
  </si>
  <si>
    <t>Beschreibung einer Verfahrensweisen, Richtlinie und/oder zukünftigen Initiative für eine nachhaltigere Zukunft (falls die Unternehmensleitlinie oder zukünftige Initiative Lieferanten oder Kunden umfasst, ist dies durch das Unternehmen anzugeben)</t>
  </si>
  <si>
    <t>Cur síos ar bheartas cleachtais agus/nó tionscnamh amach anseo i dtreo todhchaí níos inbhuanaithe (I gcás ina gcumhdaíonn an tionscnamh beartais cleachtais sa todhchaí soláthraithe nó cliaint, luafaidh an gnóthas é)</t>
  </si>
  <si>
    <t>Descrizione di una pratica, politica e/o iniziativa futura verso un futuro più sostenibile (nel caso in cui la pratica, politica o iniziativa futura riguardi fornitori o clienti, l'impresa dovrà menzionarlo)</t>
  </si>
  <si>
    <t>Aprašymas apie praktikos politiką ir/ar būsimą iniciatyvą siekiant tvaresnės ateities (jei praktikos politika ar būsimą iniciatyvą apima tiekėjai ar klientai, įmonė privalo apie tai nurodyti)</t>
  </si>
  <si>
    <t>Opis polityki, praktyki i/lub przyszłej inicjatywy na rzecz bardziej zrównoważonej przyszłości (jeśli praktyka, polityka lub przyszła inicjatywa obejmuje dostawców lub klientów, należy to zaznaczyć)</t>
  </si>
  <si>
    <t>Descrição de uma prática, política e/ou iniciativa futura para um futuro mais sustentável (Caso a prática, política ou iniciativa futura abranja fornecedores ou clientes, a empresa deve mencioná-lo)</t>
  </si>
  <si>
    <t>Opis politike, prakse in/ali prihodnje pobude za bolj trajnostno prihodnost (če prihodnja pobuda, politike ali praksa zajema dobavitelje ali stranke, mora podjetje to omeniti)</t>
  </si>
  <si>
    <t>Descripción de una práctica, política y/o iniciativa futura hacia un futuro más sostenible (En caso de que la práctica, política o iniciativa futura incluya a proveedores o clientes, la entidad deberá mencionarlo)</t>
  </si>
  <si>
    <t>template_label_description_of_target_related_to_a_policy</t>
  </si>
  <si>
    <t>Description of target related to a policy</t>
  </si>
  <si>
    <t xml:space="preserve">Beskrivelse af mål relateret til en politik
</t>
  </si>
  <si>
    <t>Beschrijving van het doel gerelateerd aan een beleidsmaatregel</t>
  </si>
  <si>
    <t>Description de la cible liée à une politique</t>
  </si>
  <si>
    <t>Beschreibung des auf eine Richtlinie bezogenen Ziels</t>
  </si>
  <si>
    <t>Cur síos ar sprioc a bhaineann le beartas</t>
  </si>
  <si>
    <t>Descrizione dell'obiettivo relativo a una politica</t>
  </si>
  <si>
    <t>Su politika susijusio tikslo aprašymas</t>
  </si>
  <si>
    <t>Opis celu związanego z polityką</t>
  </si>
  <si>
    <t>Descrição do objetivo relacionado com uma política</t>
  </si>
  <si>
    <t>Opis cilja, povezanega s politiko</t>
  </si>
  <si>
    <t>Descripción del objetivo relacionado con una política</t>
  </si>
  <si>
    <t>template_label_most_senior_level_accountable_for_implementing_practices_policies_and_or_future_initiatives</t>
  </si>
  <si>
    <t>Most senior level within its employees that is accountable for implementing the policies when this has been determined by the undertaking</t>
  </si>
  <si>
    <t xml:space="preserve">Det højeste ledelsesniveau blandt sine ansatte, der er ansvarligt for gennemførelsen af 
politikkerne, når dette er fastlagt af virksomheden </t>
  </si>
  <si>
    <t>Het hoogste leiderschapsniveau binnen haar werknemers dat verantwoordelijk is voor de uitvoering van het beleid wanneer dit door de onderneming is vastgesteld.</t>
  </si>
  <si>
    <t>Niveau hiérarchique le plus élevé parmi les salariés qui est responsable de la mise en œuvre des politiques, lorsque cela a été déterminé par l’entreprise</t>
  </si>
  <si>
    <t>Höchste Personalebene, die für die Umsetzung der Richtlinien verantwortlich ist, sofern im Unternehmen Festlegungen dazu bestehen.</t>
  </si>
  <si>
    <t>An leibhéal is sinsearaí laistigh dá fhostaithe atá cuntasach as na beartais a chur i bhfeidhm nuair a chinneann an gnóthas é sin</t>
  </si>
  <si>
    <t>Il livello gerarchico più elevato tra i suoi dipendenticui spetta la responsabilità dell'attuazione delle politiche, laddove l'impresa lo abbia stabilito</t>
  </si>
  <si>
    <t>Aukščiausias darbuotojų hierarchijos lygmuo, atsakingas už politikų įgyvendinimą (jei tai yra įmonės nustatyta).</t>
  </si>
  <si>
    <t>Najwyższy szczebel w jednostce, który jest odpowiedzialny za wdrożenie polityk, jeśli został określony przez jednostkę</t>
  </si>
  <si>
    <t>O nível mais senior dentro dos seus empregados que é responsável pela implementação das políticas quando tal tenha sido determinado pela empresa</t>
  </si>
  <si>
    <t>Najvišja raven zaposlenih, ki je odgovorna za izvajanje politike, kadar to določi podjetje.</t>
  </si>
  <si>
    <t>El nivel más alto dentro de sus empleados que es responsable de implementar las políticas cuando esto ha sido determinado por la empresa.</t>
  </si>
  <si>
    <t>template_label_c1_strategy_business_model_and_sustainability_related_initiatives</t>
  </si>
  <si>
    <t>C1 – Strategi: Forretningsmodel og bæredygtighedsrelaterede initiativer</t>
  </si>
  <si>
    <t xml:space="preserve">C1 — Strategie:   Businessmodel en duurzaamheid — Gerelateerde initiatieven
</t>
  </si>
  <si>
    <t>C1 – Stratégie : modèle économique et durabilité – initiatives associées</t>
  </si>
  <si>
    <t>C1 – Strategie: Geschäftsmodell und Nachhaltigkeit – Zugehörige Initiativen</t>
  </si>
  <si>
    <t>C1 – Straitéis: Múnla Gnó agus Inbhuanaitheacht – Tionscnaimh Gaolmhara</t>
  </si>
  <si>
    <t>C1 – Strategia: modello aziendale e iniziative connesse alla sostenibilità</t>
  </si>
  <si>
    <t>C1 – Strategija: verslo modelis ir su tvarumu susijusios iniciatyvos</t>
  </si>
  <si>
    <t>Strategia: model biznesowy i zrównoważony rozwój – powiązane inicjatywy</t>
  </si>
  <si>
    <t>C1 — Estratégia: Modelo de negócio e sustentabilidade — Iniciativas conexas</t>
  </si>
  <si>
    <t>C1 – Strategija: Poslovni model in trajnost – Povezane pobude</t>
  </si>
  <si>
    <t>template_label_description_of_significant_groups_of_products_and_or_services_offered</t>
  </si>
  <si>
    <t>Description of significant groups of products and or services offered</t>
  </si>
  <si>
    <t>Beskrivelse af væsentlige grupper af produkter og/eller tjenesteydelser, som virksomheden tilbyder</t>
  </si>
  <si>
    <t>Beschrijving van belangrijke groepen aangeboden producten en/of diensten</t>
  </si>
  <si>
    <t>Description des grands groupes de produits et/ou services proposés</t>
  </si>
  <si>
    <t>Beschreibung bedeutender Gruppen von angebotenen Produkten und/oder Dienstleistungen</t>
  </si>
  <si>
    <t>Cur síos ar ghrúpaí suntasacha táirgí agus/nó seirbhísí a thairgtear</t>
  </si>
  <si>
    <t>Descrizione dei gruppi significativi di prodotti e/o servizi offerti</t>
  </si>
  <si>
    <t>Siūlomų reikšmingų produktų ir (ar) paslaugų grupių aprašymas</t>
  </si>
  <si>
    <t>Opis znaczących grup oferowanych produktów i/lub usług</t>
  </si>
  <si>
    <t>Descrição dos grupos significativos de produtos disponibilizados e/ou serviços prestados</t>
  </si>
  <si>
    <t>Opis pomembnih skupin ponujenih izdelkov in/ali storitev</t>
  </si>
  <si>
    <t>Descripción de los grupos significativos de productos o servicios ofrecidos</t>
  </si>
  <si>
    <t>template_label_description_of_significant_market_the_undertaking_operates_in</t>
  </si>
  <si>
    <t>Description of significant market(s) the undertaking operates in (e.g. B2B, wholesale, retail, countries)</t>
  </si>
  <si>
    <t>Beskrivelse af det eller de væsentlige markeder, som virksomheden operer på (f.eks. B2B, engros, detail, lande)</t>
  </si>
  <si>
    <t>Beschrijving van de belangrijke markt(en) waarin de onderneming actief is (bijv. B2B, groothandel, detailhandel, landen)</t>
  </si>
  <si>
    <t>Description du ou des grands marchés sur lesquels l'entreprise exerce ses activités (par ex. commerce interentreprises, commerce de gros, commerce de détail, pays)</t>
  </si>
  <si>
    <t>Beschreibung des bedeutenden Marktes bzw. der bedeutenden Märkte, auf denen das Unternehmen tätig ist (z.B. B2B, Großhandel, Einzelhandel, Länder)</t>
  </si>
  <si>
    <t>Tuairisc ar mhargadh suntasach (ar mhargaí suntasacha) ina n-oibríonn an gnóthas (amhail Gnólacht le 
Gnólacht, mórdhíolachán, miondíolachán, tíortha)</t>
  </si>
  <si>
    <t>Descrizione del/i mercato/i significativo/i in cui opera l'impresa (ad esempio da impresa a impresa (B2B), all'ingrosso, al dettaglio, paesi)</t>
  </si>
  <si>
    <t xml:space="preserve">Reikšmingų rinkų, kuriose įmonė veikia (pvz., B2B, didmeninė prekyba, mažmeninė prekyba, šalys), aprašymas
</t>
  </si>
  <si>
    <t>Opis istotnych rynków, na których jednostka prowadzi działalność (np. B2B, handel hurtowy, detaliczny, kraje)</t>
  </si>
  <si>
    <t>Descrição dos mercados significativos em que a empresa atua (por exemplo, B2B, venda por grosso, venda a retalho, países)</t>
  </si>
  <si>
    <t>Opis pomembnega trga(-ov), na katerem(-ih) podjetje deluje (npr. B2B, veleprodaja, maloprodaja, države)</t>
  </si>
  <si>
    <t>Descripción de los mercados significativos en los que opera la empresa (por ejemplo, B2B, mayorista, minorista, países)</t>
  </si>
  <si>
    <t>template_label_description_of_main_business_relationships</t>
  </si>
  <si>
    <t>Description of main business relationships (such as key suppliers, customers, distribution channels)</t>
  </si>
  <si>
    <t>Beskrivelse af de vigtigste forretningsforbindelser (f.eks. nøgleleverandører, kunder, distributionskanaler)</t>
  </si>
  <si>
    <t>Een beschrijving van de belangrijkste zakelijke relaties (zoals belangrijke leveranciers, klanten, distributiekanalen)</t>
  </si>
  <si>
    <t>Description des principales relations d’affaires (telles que les principaux fournisseurs, clients, canaux de distribution)</t>
  </si>
  <si>
    <t>Beschreibung der wesentlichen Geschäftsbeziehungen (z.B.  zentrale Lieferanten, Kunden, Vertriebskanäle)</t>
  </si>
  <si>
    <t>Tuairisc ar na príomhghaolmhaireachtaí gnó (amhail príomhsholáthróirí, custaiméirí, bealaí dáileacháin)</t>
  </si>
  <si>
    <t>Descrizione dei principali rapporti commerciali (ad esempio fornitori, clienti, canali di distribuzione chiave)</t>
  </si>
  <si>
    <t>Pagrindinių verslo santykių aprašymas (pvz., pagrindiniai tiekėjai, klientai, paskirstymo kanalai)</t>
  </si>
  <si>
    <t>Opis głównych relacji biznesowych (np. kluczowi dostawcy, klienci, kanały dystrybucji)</t>
  </si>
  <si>
    <t>Descrição das principais relações comerciais (como os principais fornecedores, clientes, canais de distribuição)</t>
  </si>
  <si>
    <t>Opis glavnih poslovnih odnosov (kot so ključni dobavitelji, stranke, distribucijski kanali)</t>
  </si>
  <si>
    <t>Una descripción de las principales relaciones comerciales (proveedores clave, clientes, canales de distribución)</t>
  </si>
  <si>
    <t>template_label_has_the_strategy_key_elements_that_relate_to_or_affect_sustainability_issues</t>
  </si>
  <si>
    <t>Has the strategy key elements that relate to or affect sustainability issues?</t>
  </si>
  <si>
    <t>Har strategien nøgleelementer, der relaterer til eller påvirker bæredygtighedsspørgsmål?</t>
  </si>
  <si>
    <t>Bevat de strategie essentiële elementen die betrekking hebben op of invloed hebben op duurzaamheidskwesties?</t>
  </si>
  <si>
    <t xml:space="preserve">	
La stratégie comporte-t-elle des éléments principaux qui se rattachent à des enjeux de durabilité ou qui les influencent ?</t>
  </si>
  <si>
    <t>Enthält die Strategie Kernelemente, die Nachhaltigkeitsaspekte betreffen oder beeinflussen?</t>
  </si>
  <si>
    <t>An bhfuil príomhghnéithe ag an straitéis a bhaineann le saincheisteanna inbhuanaitheachta nó a théann i bhfeidhm orthu?</t>
  </si>
  <si>
    <t>La strategia presenta elementi chiave che riguardano o hanno ripercussioni su questioni attinenti alla sostenibilità?</t>
  </si>
  <si>
    <t>Ar strategijoje yra pagrindinių elementų, susijusių su tvarumo klausimais arba darančių jiems įtaką?</t>
  </si>
  <si>
    <t>Czy strategia zawiera kluczowe elementy, które odnoszą się do kwestii związanych ze zrównoważonym rozwojem lub mają na nie wpływ?</t>
  </si>
  <si>
    <t>A estratégia tem elementos fundamentais que estão relacionados com, ou que afetam, questões de sustentabilidade?</t>
  </si>
  <si>
    <t>Ali ima strategija ključne elemente, ki se nanašajo na vprašanjav zvezi s trajnostnostjo ali vplivajo nanje?</t>
  </si>
  <si>
    <t>¿Tiene la estrategia elementos clave que se relacionan o afectan a cuestiones de sostenibilidad?</t>
  </si>
  <si>
    <t>template_label_description_of_those_key_elements_in_the_strategy_that_relate_or_affect_sustainability_issues</t>
  </si>
  <si>
    <t>Description of those key elements in the strategy that relate or affect sustainability issues</t>
  </si>
  <si>
    <t xml:space="preserve">Beskrivelse af de centrale elementer fra virksomhedens strategi, der vedrører eller påvirker bæredygtighedsspørgsmål </t>
  </si>
  <si>
    <t>Beschrijving van die essentiële elementen in de strategie die verband houden met of van invloed zijn op duurzaamheidskwesties</t>
  </si>
  <si>
    <t>Description des principaux éléments de la stratégie qui se rattachent à des enjeux de durabilité ou qui les influencent</t>
  </si>
  <si>
    <t>Beschreibung jener Kernelemente in der Strategie, die Nachhaltigkeitsaspekte betreffen oder beeinflussen</t>
  </si>
  <si>
    <t>Cur síos ar na príomhghnéithe sin sa straitéis a bhaineann le saincheisteanna inbhuanaitheachta nó a mbíonn tionchar acu ar shaincheisteanna inbhuanaitheachta</t>
  </si>
  <si>
    <t>Se la strategia presenta elementi chiave che riguardano o hanno ripercussioni su questioni attinenti alla sostenibilità, una breve descrizione di tali elementi chiave.</t>
  </si>
  <si>
    <t>Strategijos pagrindinių elementų, susijusių su tvarumu arba darančių jam įtaką, aprašymas</t>
  </si>
  <si>
    <t>Opis kluczowych elementów, które odnoszą się do kwestii związanych ze zrównoważonym rozwojem lub mają na nie wpływ</t>
  </si>
  <si>
    <t>Descrição desses elementos fundamentais da estratégia que se relacionam com, ou que afetam, questões de sustentabilidade</t>
  </si>
  <si>
    <t>Opis ključnih elementov strategije, ki se nanašajo na vprašanjav zvezi s trajnostostjo ali nanje vplivajo</t>
  </si>
  <si>
    <t>Descripción de aquellos elementos clave en la estrategia que se relacionan o afecten a cuestiones de sostenibilidad</t>
  </si>
  <si>
    <t>template_label_disclosure_of_any_other_general_and_or_entity_specific_information_on_the_reporting_period</t>
  </si>
  <si>
    <t>template_label_b3_total_energy_consumption</t>
  </si>
  <si>
    <t>B3 - Total Energy Consumption (in MWh)</t>
  </si>
  <si>
    <t>B3 – Samlet energiforbrug (i MWh)</t>
  </si>
  <si>
    <t>B3 — Totaal energieverbruik (in MWh)</t>
  </si>
  <si>
    <t>B3 - Consommation totale d’énergie (en MWh)</t>
  </si>
  <si>
    <t>B3 – Gesamtenergieverbrauch (in MWh)</t>
  </si>
  <si>
    <t>B3 - Tomhaltas Iomlán Fuinnimh (i MWh)</t>
  </si>
  <si>
    <t>B3 - Consumo totale di energia (in MWh)</t>
  </si>
  <si>
    <t>B3 – Bendras energijos suvartojimas (MWh)</t>
  </si>
  <si>
    <t>B3 - Całkowite zużycie energii (w MWh)</t>
  </si>
  <si>
    <t>B3 — Consumo total de energia (em MWh)</t>
  </si>
  <si>
    <t>B3 - Skupna poraba energije (v MWh)</t>
  </si>
  <si>
    <t>B3 – Consumo total de energía (en MWh)</t>
  </si>
  <si>
    <t>template_label_total_energy_consumption</t>
  </si>
  <si>
    <t>Total Energy Consumption</t>
  </si>
  <si>
    <t>Samlet energiforbrug</t>
  </si>
  <si>
    <t>Totaal energieverbruik</t>
  </si>
  <si>
    <t>Consommation totale d’énergie</t>
  </si>
  <si>
    <t>Gesamtenergieverbrauch</t>
  </si>
  <si>
    <t>Tomhaltas Iomlán Fuinnimh</t>
  </si>
  <si>
    <t>Consumo totale di energia</t>
  </si>
  <si>
    <t>Bendras energijos suvartojimas</t>
  </si>
  <si>
    <t>Całkowite zużycie energii</t>
  </si>
  <si>
    <t>Consumo total de energia</t>
  </si>
  <si>
    <t>Skupna poraba energije</t>
  </si>
  <si>
    <t xml:space="preserve">Consumo total de energía
</t>
  </si>
  <si>
    <t>template_label_b3_breakdown_of_energy_consumption</t>
  </si>
  <si>
    <t>B3 - Breakdown of energy consumption (in MWh)</t>
  </si>
  <si>
    <t>B3 – Opdeling af energiforbrug (i MWh)</t>
  </si>
  <si>
    <t>B3 — Uitsplitsing van het energieverbruik (in MWh)</t>
  </si>
  <si>
    <t>B3 - Ventilation de la consommation d'énergie (en MWh)</t>
  </si>
  <si>
    <t>B3 - Aufschlüsselung des Energieverbrauchs (in MWh)</t>
  </si>
  <si>
    <t>B3 - Miondealú ar ídiú fuinnimh (i MWh)</t>
  </si>
  <si>
    <t>B3 - Ripartizione del consumo di energia (in MWh)</t>
  </si>
  <si>
    <t>B3 - Energijos suvartojimo (MWh) išskaidymas</t>
  </si>
  <si>
    <t>B3 - Podział zużycia energii (w MWh)</t>
  </si>
  <si>
    <t>B3 — Repartição do consumo de energia (em MWh)</t>
  </si>
  <si>
    <t>B3 - Razčlenitev porabe energije (v MWh)</t>
  </si>
  <si>
    <t>B3 - Desglose del consumo de energía (en MWh)</t>
  </si>
  <si>
    <t>template_label_has_the_undertaking_obtained_the_necessary_information_to_provide_an_energy_consumption_breakdown</t>
  </si>
  <si>
    <t>Has the undertaking obtained the necessary information to provide an energy consumption breakdown?</t>
  </si>
  <si>
    <t>Har virksomheden indhentet de nødvendige oplysninger for at kunne opdele energiforbruget?</t>
  </si>
  <si>
    <t>Heeft de onderneming de nodige informatie verkregen om een specificatie van het energieverbruik te geven?</t>
  </si>
  <si>
    <t>L’entreprise a-t-elle obtenu les informations nécessaires pour fournir une ventilation de la consommation d’énergie ?</t>
  </si>
  <si>
    <t>Hat das Unternehmen die notwendigen Informationen beschaffen können, um eine Aufschlüsselung des Energieverbrauchs bereitzustellen?</t>
  </si>
  <si>
    <t>An bhfuair an gnóthas an fhaisnéis is gá chun miondealú ar thomhaltas fuinnimh a sholáthar?</t>
  </si>
  <si>
    <t>L'impresa ha ottenuto le informazioni necessarie per fornire una ripartizione del consumo di energia?</t>
  </si>
  <si>
    <t>Ar įmonė gavo reikalingą informaciją energijos suvartojimo išskaidymui pateikti?</t>
  </si>
  <si>
    <t>Czy jednostka uzyskała niezbędne informacje pozwalające na przedstawienie podziału zużycia energii?</t>
  </si>
  <si>
    <t>A empresa obteve a informação necessária para fornecer uma discriminação do consumo de energia?</t>
  </si>
  <si>
    <t>Ali je podjetje pridobilo potrebne informacije za pripravo razčlenitve porabe energije?</t>
  </si>
  <si>
    <t>¿Ha obtenido la empresa la información necesaria para proporcionar un desglose del consumo de energía?</t>
  </si>
  <si>
    <t>template_label_renewable</t>
  </si>
  <si>
    <t>Vedvarende</t>
  </si>
  <si>
    <t>Hernieuwbaar</t>
  </si>
  <si>
    <t>Renouvelable</t>
  </si>
  <si>
    <t>Erneuerbar</t>
  </si>
  <si>
    <t>In-athnuaite</t>
  </si>
  <si>
    <t>Rinnovabile</t>
  </si>
  <si>
    <t xml:space="preserve">Atsinaujinanti energija </t>
  </si>
  <si>
    <t>Odnawialny</t>
  </si>
  <si>
    <t>Renovável</t>
  </si>
  <si>
    <t>Obnovljivi</t>
  </si>
  <si>
    <t>Renovable</t>
  </si>
  <si>
    <t>template_label_non_renewable</t>
  </si>
  <si>
    <t>Ikke-vedvarende</t>
  </si>
  <si>
    <t>Niet-hernieuwbaar</t>
  </si>
  <si>
    <t>Non renouvelable</t>
  </si>
  <si>
    <t>Nicht erneuerbar</t>
  </si>
  <si>
    <t>Neamh-inathnuaite</t>
  </si>
  <si>
    <t>Non rinnovabile</t>
  </si>
  <si>
    <t>Neatsinaujinanti energija</t>
  </si>
  <si>
    <t>Nieodnawialny</t>
  </si>
  <si>
    <t>Não renovável</t>
  </si>
  <si>
    <t>Neobnovljivi</t>
  </si>
  <si>
    <t>No renovable</t>
  </si>
  <si>
    <t>template_label_total_renewable_and_nonrenewable</t>
  </si>
  <si>
    <t>Total renewable and non-renewable</t>
  </si>
  <si>
    <t>Samlet vedvarende og ikke-vedvarende</t>
  </si>
  <si>
    <t>Totaal hernieuwbaar en niet-hernieuwbaar</t>
  </si>
  <si>
    <t>Total renouvelable et non renouvelable</t>
  </si>
  <si>
    <t>Gesamte erneuerbare und nicht erneuerbare Energie</t>
  </si>
  <si>
    <t>Iomlán in-athnuaite agus neamh-inathnuaite</t>
  </si>
  <si>
    <t>Totale rinnovabile e non rinnovabile</t>
  </si>
  <si>
    <t>Bendras atsinaujinančių ir neatsinaujinančių energijos šaltinių energijos kiekis</t>
  </si>
  <si>
    <t>Całkowite odnawialne i nieodnawialne</t>
  </si>
  <si>
    <t>Total renovável e não renovável</t>
  </si>
  <si>
    <t>Skupni obnovljivi in neobnovljivi viri energije</t>
  </si>
  <si>
    <t>Total renovable y no renovable</t>
  </si>
  <si>
    <t>template_label_electricity</t>
  </si>
  <si>
    <t>Electricity (as reflected in utility billings)</t>
  </si>
  <si>
    <t>Elektricitet (som det fremgår af forbrugsregninger)</t>
  </si>
  <si>
    <t>Elektriciteit (zoals weergegeven in de nutsfacturen)</t>
  </si>
  <si>
    <t>Électricité (telle qu’indiquée sur les factures de consommation courante)</t>
  </si>
  <si>
    <t>Strom (wie in den Rechnungen der Versorgungsunternehmen angegeben)</t>
  </si>
  <si>
    <t>Leictreachas (mar a léirítear i mbileálacha fóntais)</t>
  </si>
  <si>
    <t>Energia elettrica (secondo quanto risulta dalle bollette)</t>
  </si>
  <si>
    <t>Elektra (kaip nurodyta komunalinių paslaugų sąskaitose)</t>
  </si>
  <si>
    <t>Energia elektryczna (według danych zawartych w rachunkach za media)</t>
  </si>
  <si>
    <t>Eletricidade (conforme refletida nas faturas de serviços públicos)</t>
  </si>
  <si>
    <t>Elektrika (kot je prikazano na računih za komunalne storitve)</t>
  </si>
  <si>
    <t>Electricidad (según se refleja en las facturas de servicios)</t>
  </si>
  <si>
    <t>template_label_selfgenerated_electricity</t>
  </si>
  <si>
    <t>Self-generated electricity</t>
  </si>
  <si>
    <t>Egenproduceret elektricitet</t>
  </si>
  <si>
    <t>Zelf opgewekte elektriciteit</t>
  </si>
  <si>
    <t>Électricité auto-produite</t>
  </si>
  <si>
    <t>Selbst erzeugter Strom</t>
  </si>
  <si>
    <t>Leictreachas féinghinte</t>
  </si>
  <si>
    <t>Energia elettrica autoprodotta</t>
  </si>
  <si>
    <t>Įmonės pasigaminta elektra</t>
  </si>
  <si>
    <t>Samodzielnie produkowana energia elektryczna</t>
  </si>
  <si>
    <t>Eletricidade de produção própria</t>
  </si>
  <si>
    <t>Samoproizvedena elektrika</t>
  </si>
  <si>
    <t>Electricidad autoproducida</t>
  </si>
  <si>
    <t>template_label_fuels</t>
  </si>
  <si>
    <t>Fuels (see Fuel Converter on Fuels worksheet)</t>
  </si>
  <si>
    <t xml:space="preserve">Brændstoffer (se brændstofs-konverteringen i brændstof-fanen) </t>
  </si>
  <si>
    <t>Brandstoffen (zie Brandstofomzetter op het werkblad Brandstoffen)</t>
  </si>
  <si>
    <t>Combustibles (voir Convertisseur de combustible dans la feuille Combustible)</t>
  </si>
  <si>
    <t>Brennstoffe (siehe Brennstoffumrechner im Arbeitsblatt Brennstoffe)</t>
  </si>
  <si>
    <t>Breoslaí (féach Tiontaire Breosla ar Bhileog oibre Breoslaí)</t>
  </si>
  <si>
    <t>Combustibili (vedere Convertitore di carburante nel foglio Combustibili)</t>
  </si>
  <si>
    <t>Kuras (žr. „Kuro konverterį / konvertavimo skaičiuoklę“ darbalapyje „Kuras“)</t>
  </si>
  <si>
    <t>Paliwa (zobacz Konwerter Paliw na arkuszu Paliwa)</t>
  </si>
  <si>
    <t>Combustíveis (ver Conversor de Combustíveis na folha Combustíveis)</t>
  </si>
  <si>
    <t>Goriva (glejte Pretvornik goriv na delovnem listu Goriva)</t>
  </si>
  <si>
    <t>Combustibles (ver Convertidor de Combustibles en la hoja Combustibles)</t>
  </si>
  <si>
    <t>template_label_b3_estimated_greenhouse_gas_emissions</t>
  </si>
  <si>
    <t>B3 - Estimated Greenhouse Gas Emissions considering the GHG Protocol Version 2004 (in tCO2e)</t>
  </si>
  <si>
    <t>B3 - Anslåede drivhusgasudledninger under hensyntagen til GHG-protokollen version 2004 (i tCO2e)</t>
  </si>
  <si>
    <t>B3 - Geraamde broeikasgasemissies rekening houdend met het GHG Protocol versie 2004 (in tCO2e)</t>
  </si>
  <si>
    <t>B3 - Estimations des émissions de gaz à effet de serre en prenant en considération la norme du protocole des GES relative aux entreprises (GHG Protocol) (version 2004) (en tCO₂e)</t>
  </si>
  <si>
    <t>B3 - Geschätzte Treibhausgasemissionen gemäß des THG-Protokolls Version 2004 (in tCO2e)</t>
  </si>
  <si>
    <t>B3 - Astaíochtaí Measta Gás Ceaptha Teasa ag smaoineamh ar Phrótacal GCT Leagan 2004 (i tCO2e)</t>
  </si>
  <si>
    <t>B3 - Emissioni stimate di gas a effetto serra considerando il Greenhouse Gas Protocol versione 2004 (in tCO2e)</t>
  </si>
  <si>
    <t>B3 – Apskaičiuotos šiltnamio efektą sukeliančių dujų emisijos, atsižvelgiant į 2004 m. ŠESD protokolo versiją (tCO2e)</t>
  </si>
  <si>
    <t>B3 – Szacunkowa emisja gazów cieplarnianych z uwzględnieniem wymogów GHG Protocol Corporate Standard w wersji z 2004 r. (w tCO2e)</t>
  </si>
  <si>
    <t xml:space="preserve">B3 – Emissões estimadas de gases com efeito de estufa considerando o Protocolo GEE Versão 2004 (em teCO2) 
</t>
  </si>
  <si>
    <t>B3 - Ocenjene emisije toplogrednih plinov ob upoštevanju Protokola o toplogrednih plinih, različica 2004 (v tCO2e)</t>
  </si>
  <si>
    <t>B3 – Emisiones brutas estimadas de gases de efecto invernadero considerando el Protocolo GEI versión 2004 (en tCO2e)</t>
  </si>
  <si>
    <t>template_label_c3_ghg_reduction_targets</t>
  </si>
  <si>
    <t>C3 - GHG reduction targets (in tC02e)</t>
  </si>
  <si>
    <t>C3 – Mål for reduktion af drivhusgasudledninger (i tCO2e)</t>
  </si>
  <si>
    <t>C3 - Streefcijfers voor broeikasgasreductie (in tCO2e)</t>
  </si>
  <si>
    <t>Cibles de réduction des émissions de GES (en tCO₂e)</t>
  </si>
  <si>
    <t>C3 – THG-Reduktionsziele (in tCO2e)</t>
  </si>
  <si>
    <t>C3 - Spriocanna laghdaithe gás ceaptha teasa (i tC02e)</t>
  </si>
  <si>
    <t>C3 - Obiettivi di riduzione delle emissioni di gas a effetto serra (in tCO2e)</t>
  </si>
  <si>
    <t>C3 – Šiltnamio efektą sukeliančių dujų mažinimo tikslai (tCO2e)</t>
  </si>
  <si>
    <t>C3 – Cele redukcji emisji gazów cieplarnianych (w tCO2e)</t>
  </si>
  <si>
    <t>C3 - Metas de redução de GEE (em tCO2e)</t>
  </si>
  <si>
    <t>C3 - Cilji zmanjšanja emisij toplogrednih plinov (v tCO2e)</t>
  </si>
  <si>
    <t>C3 - Metas de reducción de GEI (en tCO2e)</t>
  </si>
  <si>
    <t>template_label_has_the_undertaking_has_established_ghg_emission_reduction_targets</t>
  </si>
  <si>
    <t>Has  the undertaking has established GHG emission reduction targets?</t>
  </si>
  <si>
    <t>Har virksomheden fastsat mål for reduktion af drivhusgasudledninger?</t>
  </si>
  <si>
    <t>Heeft de onderneming streefcijfers voor de vermindering van de GHG-uitstoot vastgesteld?</t>
  </si>
  <si>
    <t>L'entreprise a-t-elle établi des cibles de réduction des émissions de GES ?</t>
  </si>
  <si>
    <t>Hat das Unternehmen Ziele zur Reduktion der THG-Emissionen festgelegt?</t>
  </si>
  <si>
    <t>An bhfuil spriocanna laghdaithe astaíochtaí gás ceaptha teasa leagtha síos ag an ngnóthas?</t>
  </si>
  <si>
    <t>L'impresa ha stabilito obiettivi di riduzione delle emissioni di gas a effetto serra?</t>
  </si>
  <si>
    <t>Ar įmonė nusistatė ŠESD mažinimo tikslus?</t>
  </si>
  <si>
    <t>Czy jednostka ustanowiła cele redukcji emisji gazów cieplarnianych?</t>
  </si>
  <si>
    <t>A empresa estabeleceu metas de redução das emissões de GEE?</t>
  </si>
  <si>
    <t>Ali je podjetje določilo cilje za zmanjšanje emisij toplogrednih plinov?</t>
  </si>
  <si>
    <t>¿La empresa ha establecido objetivos de reducción de emisiones de gases de efecto invernadero (GHG)?</t>
  </si>
  <si>
    <t>template_label_current_reporting_period</t>
  </si>
  <si>
    <t>Current Reporting Period</t>
  </si>
  <si>
    <t>Nuværende rapporteringsperiode</t>
  </si>
  <si>
    <t xml:space="preserve">Huidige rapportageperiode </t>
  </si>
  <si>
    <t>Période de reporting actuelle</t>
  </si>
  <si>
    <t>Aktueller Berichtszeitraum</t>
  </si>
  <si>
    <t>An Tréimhse Tuairiscithe Reatha</t>
  </si>
  <si>
    <t>Periodo di riferimento corrente</t>
  </si>
  <si>
    <t>Ataskaitinis laikotarpis</t>
  </si>
  <si>
    <t>Bieżący okres sprawozdawczy</t>
  </si>
  <si>
    <t>Período de Relato Atual</t>
  </si>
  <si>
    <t>Tekoče poročevalsko obdobje</t>
  </si>
  <si>
    <t>Periodo de informe actual</t>
  </si>
  <si>
    <t>template_label_base_year</t>
  </si>
  <si>
    <t>Base Year</t>
  </si>
  <si>
    <t>Basisår</t>
  </si>
  <si>
    <t>Basisjaar</t>
  </si>
  <si>
    <t>Année de référence</t>
  </si>
  <si>
    <t>Basisjahr</t>
  </si>
  <si>
    <t>Bonnbhliain</t>
  </si>
  <si>
    <t>Anno base</t>
  </si>
  <si>
    <t>Baziniai (atskaitos) metai</t>
  </si>
  <si>
    <t>Rok bazowy</t>
  </si>
  <si>
    <t>Ano base</t>
  </si>
  <si>
    <t>Izhodiščno leto</t>
  </si>
  <si>
    <t>Año de referencia</t>
  </si>
  <si>
    <t>template_label_target_year</t>
  </si>
  <si>
    <t>Target Year</t>
  </si>
  <si>
    <t>Målår</t>
  </si>
  <si>
    <t>Doeljaar</t>
  </si>
  <si>
    <t>Année cible</t>
  </si>
  <si>
    <t>Zieljahr</t>
  </si>
  <si>
    <t>Spriocbhliain</t>
  </si>
  <si>
    <t>Anno-obiettivo</t>
  </si>
  <si>
    <t>Tiksliniai metai</t>
  </si>
  <si>
    <t>Rok docelowy</t>
  </si>
  <si>
    <t>Ano-alvo</t>
  </si>
  <si>
    <t>Ciljno leto</t>
  </si>
  <si>
    <t>Año objetivo</t>
  </si>
  <si>
    <t>template_label_percentage_reduction_from_base_year</t>
  </si>
  <si>
    <t>Percentage reduction from base year</t>
  </si>
  <si>
    <t>Procentvis reduktion i relation til basisår</t>
  </si>
  <si>
    <t>Percentage reductie ten opzichte van het basisjaar</t>
  </si>
  <si>
    <t>Réduction en pourcentage par rapport à l’année de référence</t>
  </si>
  <si>
    <t>Prozentuale Reduktion gegenüber dem Basisjahr</t>
  </si>
  <si>
    <t>Laghdú céatadáin ón mbonnbhliain</t>
  </si>
  <si>
    <t>Percentuale di riduzione rispetto all'anno base</t>
  </si>
  <si>
    <t>Procentinis sumažėjimas nuo atskaitos metų lygio</t>
  </si>
  <si>
    <t>Procentowa redukcja względem roku bazowego</t>
  </si>
  <si>
    <t>Redução percentual em relação ao ano base</t>
  </si>
  <si>
    <t>Odstotno zmanjšanje glede na izhodiščno leto</t>
  </si>
  <si>
    <t>Reducción porcentual respecto al año base</t>
  </si>
  <si>
    <t>template_label_year_date</t>
  </si>
  <si>
    <t>Year (date)</t>
  </si>
  <si>
    <t>År (dato)</t>
  </si>
  <si>
    <t>Jaar (datum)</t>
  </si>
  <si>
    <t>Année (date)</t>
  </si>
  <si>
    <t>Jahr (Datum)</t>
  </si>
  <si>
    <t>Bliain (dáta)</t>
  </si>
  <si>
    <t>Anno (data)</t>
  </si>
  <si>
    <t>Metai (data)</t>
  </si>
  <si>
    <t>Rok (data)</t>
  </si>
  <si>
    <t>Ano (data)</t>
  </si>
  <si>
    <t>Leto (datum)</t>
  </si>
  <si>
    <t>Año (fecha)</t>
  </si>
  <si>
    <t>template_label_gross_scope_1_ghg_emissions</t>
  </si>
  <si>
    <t>Gross Scope 1 GHG Emissions</t>
  </si>
  <si>
    <t xml:space="preserve">Brutto Scope 1 drivhusgasudledninger i  tCO2eq </t>
  </si>
  <si>
    <t>Bruto Scope 1 GHG-uitstoot</t>
  </si>
  <si>
    <t>Émissions brutes de GES du scope 1</t>
  </si>
  <si>
    <t>Scope 1-Brutto-Treibhausgasemissionen</t>
  </si>
  <si>
    <t>Ollastaíochtaí gás ceaptha teasa Scóip 1</t>
  </si>
  <si>
    <t>Emissioni lorde di gas a effetto serra di ambito 1</t>
  </si>
  <si>
    <t>Bendrosios pirmos apimties  ŠESD emisijos</t>
  </si>
  <si>
    <t>Emisje brutto gazów cieplarnianych zakresu 1 (GHG)</t>
  </si>
  <si>
    <t>Emissões brutas de gases com efeito de estufa (GEE) de âmbito 1</t>
  </si>
  <si>
    <t>Bruto emisije toplogrednih plinov obsega 1</t>
  </si>
  <si>
    <t>Emisiones brutas de GEI de Alcance 1</t>
  </si>
  <si>
    <t>template_label_gross_scope_2_location_based_ghg_emissions</t>
  </si>
  <si>
    <t>Gross Scope 2 location-based GHG Emissions</t>
  </si>
  <si>
    <t>Brutto Scope 2 drivhusgasudledninger i tCO2eq (lokationsbaseret)</t>
  </si>
  <si>
    <t>Bruto Scope 2 locatiegebonden broeikasgasemissies</t>
  </si>
  <si>
    <t>Émissions brutes de GES du scope 2 basées sur la localisation</t>
  </si>
  <si>
    <t>Standortbezogene Scope 2-Brutto-Treibhausgasemissionen</t>
  </si>
  <si>
    <t xml:space="preserve">Astaíochtaí comhlána GCT Raon Feidhme 2 bunaithe ar shuíomh </t>
  </si>
  <si>
    <t>Emissioni lorde di gas a effetto serra di ambito 2 basate sulla posizione</t>
  </si>
  <si>
    <t>Bendrosios antros apimties ŠESD emisijos (vietos metodas)</t>
  </si>
  <si>
    <t>Emisje brutto gazów cieplarnianych zakresu 2 według metody opartej na lokalizacji</t>
  </si>
  <si>
    <t>Emissões brutas de âmbito 2 de GEE  baseadas na localização</t>
  </si>
  <si>
    <t xml:space="preserve">Bruto lokacijske emisije toplogrednih plinov v okviru obsega 2 </t>
  </si>
  <si>
    <t>Emisiones brutas de GEI de alcance 2 basadas en la ubicación</t>
  </si>
  <si>
    <t>template_label_gross_scope_2_market_based_ghg_emissions</t>
  </si>
  <si>
    <t>Gross scope 2 market-based GHG Emissions</t>
  </si>
  <si>
    <t xml:space="preserve">Brutto Scope 2 drivhusgasudledninger i tCO2eq (markedsbaseret) </t>
  </si>
  <si>
    <t>Bruto scope 2 marktbasis GHG-uitstoot</t>
  </si>
  <si>
    <t>Émissions brutes de GES du scope 2 basées sur le marché</t>
  </si>
  <si>
    <t>Marktbasierte Scope 2-Brutto-Treibhausgasemissionen</t>
  </si>
  <si>
    <t>Astaíochtaí comhlána GCT Raon Feidhme 2 bunaithe ar an margadh</t>
  </si>
  <si>
    <t>Emissioni lorde di gas a effetto serra di ambito 2 basate sul mercato</t>
  </si>
  <si>
    <t>Bendrosios antros apimties ŠESD emisijos (rinkos metodas)</t>
  </si>
  <si>
    <t>Emisje brutto gazów cieplarnianych zakresu 2 według metody opartej na rynku</t>
  </si>
  <si>
    <t>Emissões brutas de âmbito 2 de GEE  baseadas no mercado</t>
  </si>
  <si>
    <t>Bruto tržne emisije toplogrednih plinov obsega 2</t>
  </si>
  <si>
    <t>Emisiones brutas de gases de efecto invernadero (GEI) de alcance 2 basadas en el mercado</t>
  </si>
  <si>
    <t>template_label_total_scope_1_and_scope_2_ghg_emissions_location_based</t>
  </si>
  <si>
    <t>Total Scope 1 and Scope 2 GHG Emissions (location-based)</t>
  </si>
  <si>
    <t>Samlede Scope 1 og Scope 2 drivhusgasudledninger i tCO2eq (lokationsbaseret)</t>
  </si>
  <si>
    <t>Totale broeikasgasemissies Scope 1 en Scope 2 (locatiegebaseerd)</t>
  </si>
  <si>
    <t>Émissions totales de GES des scopes 1 et 2 (approche basée sur la localisation)</t>
  </si>
  <si>
    <t>Gesamte Scope 1- und Scope 2-Treibhausgasemissionen (standortbezogen)</t>
  </si>
  <si>
    <t>Astaíochtaí comhlána GCT Raon Feidhme 1 agus Raon Feidhme 2 (bunaithe ar shuíomh)</t>
  </si>
  <si>
    <t>Emissioni totali di gas a effetto serra di ambito 1 e ambito 2 (basate sulla posizione)</t>
  </si>
  <si>
    <t>Bendrosios pirmos apimties ir antros apimties (vietos metodas) ŠESD emisijos</t>
  </si>
  <si>
    <t>Całkowite emisje gazów cieplarnianych zakresu 1 i zakresu 2 (według metody opartej na lokalizacji)</t>
  </si>
  <si>
    <t>Emissões Totais de GEE de Âmbito 1 e Âmbito 2 (baseadas na localização)</t>
  </si>
  <si>
    <t>Skupne lokacijske emisije toplogrednih plinov obsega 1 in obsega 2</t>
  </si>
  <si>
    <t>Emisiones totales de GEI de Alcance 1 y Alcance 2 (basadas en la ubicación)</t>
  </si>
  <si>
    <t>template_label_total_scope_1_and_scope_2_ghg_emissions_market_based</t>
  </si>
  <si>
    <t>Total Scope 1 and Scope 2 GHG emissions  (market-based)</t>
  </si>
  <si>
    <t xml:space="preserve">Samlet Scope 1 og Scope 2 drivhusgasudledninger i tCO2eq (markedsbaseret) </t>
  </si>
  <si>
    <t>Totaal Scope 1 en Scope 2 broeikasgasemissies (marktgebaseerd)</t>
  </si>
  <si>
    <t>Émissions totales de GES des scopes 1 et 2 (approche basée sur le marché)</t>
  </si>
  <si>
    <t>Gesamte Scope 1- und Scope 2-Treibhausgasemissionen (marktbasiert)</t>
  </si>
  <si>
    <t>Astaíochtaí comhlána GCT Raon Feidhme 1 agus Raon Feidhme 2 (bunaithe ar an margadh)</t>
  </si>
  <si>
    <t>Emissioni totali di gas a effetto serra di ambito 1 e ambito 2 (basate sul mercato)</t>
  </si>
  <si>
    <t>Całkowite emisje gazów cieplarnianych zakresu 1 i zakresu 2 (według metody opartej na rynku)</t>
  </si>
  <si>
    <t>Emissões totais de GEE de Âmbito 1 e Âmbito 2 (baseadas no mercado)</t>
  </si>
  <si>
    <t>Skupne tržne emisije toplogrednih plinov obsega 1 in obsega 2</t>
  </si>
  <si>
    <t>Emisiones totales de GEI de Alcance 1 y Alcance 2 (basadas en el mercado)</t>
  </si>
  <si>
    <t>template_label_is_the_undertaking_disclosing_entity_specific_information_on_scope_3_emissions</t>
  </si>
  <si>
    <t>Is the undertaking disclosing entity-specific information on Scope 3 emissions (in tCO2e)?</t>
  </si>
  <si>
    <t>Oplyser virksomheden om enhedsspecifik information vedrørende Scope 3-udledninger (i tCO₂e)?</t>
  </si>
  <si>
    <t>Geeft de onderneming entiteitsspecifieke informatie over Scope 3-emissies (uitgedrukt in tCO2e)?</t>
  </si>
  <si>
    <t>L'entreprise publie-t-elle des informations spécifiques à l’entité sur les émissions du scope 3 (en tCO₂e) ?</t>
  </si>
  <si>
    <t>Macht das Unternehmen unternehmensspezifische Angaben zu Scope 3-Emissionen (in tCO2e)?</t>
  </si>
  <si>
    <t>An bhfuil an gnóthas ag nochtadh faisnéise a bhaineann go sonrach le heintitis ar astaíochtaí Raon Feidhme 3 (i tCO2e)?</t>
  </si>
  <si>
    <t>L'impresa comunica informazioni specifiche per soggetto sulle emissioni di ambito 3 (in tCO2e)?</t>
  </si>
  <si>
    <t>Ar įmonė atskleidžia specifinę informaciją apie 3 apimties emisijas (tCO2e)?</t>
  </si>
  <si>
    <t>Czy jednostka ujawnia informacje specyficzne dla jednostki na temat emisji z zakresie 3 (w tCO2e)?</t>
  </si>
  <si>
    <t>A empresa está a divulgar informações específicas sobre emissões do Âmbito 3 (em tCO2e)?</t>
  </si>
  <si>
    <t>Ali podjetje razkriva informacije o emisijah iz obsega 3 (v tCO2e), ki so specifične za podjetje?</t>
  </si>
  <si>
    <t>¿La empresa divulga información específica sobre las emisiones de Alcance 3 (en tCO2e)?</t>
  </si>
  <si>
    <t>template_label_1_purchased_goods_and_services</t>
  </si>
  <si>
    <t>1. Purchased Goods and Services</t>
  </si>
  <si>
    <t>1. Indkøbte varer og tjenesteydelser</t>
  </si>
  <si>
    <t xml:space="preserve">"1. Aangekochte Goederen en Diensten" 
</t>
  </si>
  <si>
    <t>1. Biens et services achetés</t>
  </si>
  <si>
    <t>1. Eingekaufte Waren und Dienstleistungen</t>
  </si>
  <si>
    <t>1. Earraí agus Seirbhísí Ceannaithe</t>
  </si>
  <si>
    <t>1. Beni e servizi acquistati</t>
  </si>
  <si>
    <t>1. Pirktos prekės ir paslaugos</t>
  </si>
  <si>
    <t>1. Zakupione towary i usługi</t>
  </si>
  <si>
    <t>1. Bens e Serviços Adquiridos</t>
  </si>
  <si>
    <t>1. Kupljeno blago in storitve</t>
  </si>
  <si>
    <t>1. Bienes y servicios adquiridos</t>
  </si>
  <si>
    <t>template_label_2_capital_goods</t>
  </si>
  <si>
    <t>2. Capital Goods</t>
  </si>
  <si>
    <t>2. Kapitalgoder</t>
  </si>
  <si>
    <t>2. Kapitaalgoederen</t>
  </si>
  <si>
    <t>2. Biens d'investissement</t>
  </si>
  <si>
    <t>2. Investitionsgüter</t>
  </si>
  <si>
    <t>Earraí Caipitil</t>
  </si>
  <si>
    <t>2. Beni strumentali</t>
  </si>
  <si>
    <t>2. Kapitalinės prekės</t>
  </si>
  <si>
    <t>2. Dobra inwestycyjne</t>
  </si>
  <si>
    <t>2. Bens de Equipamento</t>
  </si>
  <si>
    <t>2. Investicijsko blago</t>
  </si>
  <si>
    <t>2. Bienes de capital</t>
  </si>
  <si>
    <t>template_label_3_fuel__and_energy_related_activities</t>
  </si>
  <si>
    <t>3. Fuel- and Energy-Related Activities (Not Included in Scope 1 or Scope 2)</t>
  </si>
  <si>
    <t>3. Brændstof- og energi-relaterede aktiviteter (ikke inkluderet i scope 1 eller scope 2)</t>
  </si>
  <si>
    <t>3. Brandstof- en energiegerelateerde activiteiten (niet inbegrepen in Scope 1 of Scope 2)</t>
  </si>
  <si>
    <t>3. Activités relevant des secteurs des combustibles et de l’énergie (non incluses dans les scopes 1 et 2)</t>
  </si>
  <si>
    <t>3. Brennstoff- und energiebezogene Tätigkeiten (nicht in Scope 1 oder Scope 2 enthalten)</t>
  </si>
  <si>
    <t>3. Gníomhaíochtaí a bhaineann le breosla agus fuinneamh (nach bhfuil san áireamh i Raon Feidhme 1 nó i Raon Feidhme 2)</t>
  </si>
  <si>
    <t>3. Attività legate ai combustibili e all'energia (non incluse nell'ambito 1 o ambito 2)</t>
  </si>
  <si>
    <t>3. Su kuru ir energija susijusi veikla (neįtraukta į pirmą ar antrą ŠESD emisijų apimtį)</t>
  </si>
  <si>
    <t>3. Działalność związana z paliwami i energią (niezawarta w zakresie 1 i zakresie 2)</t>
  </si>
  <si>
    <t>3. Atividades Relacionadas com Combustíveis e Energia (Não Incluídas no Âmbito 1 ou Âmbito 2)</t>
  </si>
  <si>
    <t>3. Dejavnosti, povezane z gorivi in energijo (ne vključene v obseg 1 ali 2)</t>
  </si>
  <si>
    <t>3. Actividades relacionadas con el combustible y la energía (no incluidas en el Alcance 1 ni en el Alcance 2)</t>
  </si>
  <si>
    <t>template_label_4_upstream_transportation_and_distribution</t>
  </si>
  <si>
    <t>4. Upstream Transportation and Distribution</t>
  </si>
  <si>
    <t>4. Opstrøms transport og distribution</t>
  </si>
  <si>
    <t>Upstream transport en distributie</t>
  </si>
  <si>
    <t xml:space="preserve">4. Transport et distribution en amont </t>
  </si>
  <si>
    <t>4. Vorgelageter Transport und Vertrieb</t>
  </si>
  <si>
    <t xml:space="preserve"> Iompar agus Dáileadh Réamhtheachtach</t>
  </si>
  <si>
    <t>4. Trasporto e distribuzione a monte</t>
  </si>
  <si>
    <t>4. Priešsrovinis transportavimas ir paskirstymas</t>
  </si>
  <si>
    <t>4. Transport i dystrybucja na wyższym szczeblu łańcucha dostaw</t>
  </si>
  <si>
    <t>4. Transporte e Distribuição a Montante</t>
  </si>
  <si>
    <t>4. Prevoz in distribucija navzgor po vrednostni verigi (upstream)</t>
  </si>
  <si>
    <t>4. Transporte y distribución aguas arriba</t>
  </si>
  <si>
    <t>template_label_5_waste_generated_in_operations</t>
  </si>
  <si>
    <t>5. Waste Generated in Operations</t>
  </si>
  <si>
    <t>5. Affald genereret i driften</t>
  </si>
  <si>
    <t>5. Afval gegenereerd in de bedrijfsvoering</t>
  </si>
  <si>
    <t>5. Déchets produits lors de l’exploitation</t>
  </si>
  <si>
    <t>5. Im Rahmen der Geschäftstätigkeiten anfallender Abfall</t>
  </si>
  <si>
    <t>5. Dramhaíl a Ghintear in Oibríochtaí</t>
  </si>
  <si>
    <t>5. Rifiuti generati nel corso delle operazioni</t>
  </si>
  <si>
    <t>5. Atliekos, susidarančios vykdant veiklą</t>
  </si>
  <si>
    <t>5. Odpady powstałe w trakcie działalności operacyjnej</t>
  </si>
  <si>
    <t>5. Resíduos Gerados nas Operações</t>
  </si>
  <si>
    <t>5. Odpadki, nastali pri poslovanju</t>
  </si>
  <si>
    <t>5. Residuos generados en las operaciones</t>
  </si>
  <si>
    <t>template_label_6_business_travel</t>
  </si>
  <si>
    <t>6. Business Travel</t>
  </si>
  <si>
    <t>6. Forretningsrejser</t>
  </si>
  <si>
    <t>"6. Zakenreizen"</t>
  </si>
  <si>
    <t>6. Voyages d’affaires</t>
  </si>
  <si>
    <t>6. Geschäftsreisen</t>
  </si>
  <si>
    <t>6. Taisteal Gnó</t>
  </si>
  <si>
    <t>6. Viaggi d'affari</t>
  </si>
  <si>
    <t>6. Verslo kelionės</t>
  </si>
  <si>
    <t>6. Podróże służbowe</t>
  </si>
  <si>
    <t>6. Viagens de Negócios</t>
  </si>
  <si>
    <t>6. Poslovna potovanja</t>
  </si>
  <si>
    <t>6. Viajes de negocios</t>
  </si>
  <si>
    <t>template_label_7_employee_commuting</t>
  </si>
  <si>
    <t>7. Employee Commuting</t>
  </si>
  <si>
    <t>7. medarbejderpendling</t>
  </si>
  <si>
    <t>7. Woon-werkverkeer van werknemers</t>
  </si>
  <si>
    <t>7. Déplacements domicile-travail des salariés</t>
  </si>
  <si>
    <t>7. Pendeln der Arbeitskräfte</t>
  </si>
  <si>
    <t>Timaistear tráthrialta fostaí</t>
  </si>
  <si>
    <t>7. Pendolarismo dei dipendenti</t>
  </si>
  <si>
    <t>7. Darbuotojų kelionės į ir iš darbo</t>
  </si>
  <si>
    <t>7. Dojazdy pracowników</t>
  </si>
  <si>
    <t>7. Deslocação dos Empregados</t>
  </si>
  <si>
    <t>7. Prevoz zaposlenih na delo in z dela</t>
  </si>
  <si>
    <t>7. Desplazamiento de empleados</t>
  </si>
  <si>
    <t>template_label_8_upstream_leased_assets</t>
  </si>
  <si>
    <t>8. Upstream Leased Assets</t>
  </si>
  <si>
    <t>8. Opstrøms lejede aktiver</t>
  </si>
  <si>
    <t>8. Upstream geleasede activa</t>
  </si>
  <si>
    <t>8. Actifs loués en amont</t>
  </si>
  <si>
    <t>8. Vorgelagerte Leasinggüter</t>
  </si>
  <si>
    <t>Sócmhainní Léasaithe Réamhtheachtach</t>
  </si>
  <si>
    <t>8. Attivi in leasing a monte</t>
  </si>
  <si>
    <t>8.  Priešsrovinis išnuomotas turtas</t>
  </si>
  <si>
    <t>8. Dzierżawione aktywa na wyższym szczeblu łańcucha wartości</t>
  </si>
  <si>
    <t>8. Ativos Arrendados a Montante</t>
  </si>
  <si>
    <t>8. Najeta sredstva (upstream)</t>
  </si>
  <si>
    <t>Activos arrendados aguas arriba</t>
  </si>
  <si>
    <t>template_label_9_downstream_transportation_and_distribution</t>
  </si>
  <si>
    <t>9. Downstream Transportation and Distribution</t>
  </si>
  <si>
    <t>9. Nedstrøms transport og distribution</t>
  </si>
  <si>
    <t>9. Downstream transport en distributie</t>
  </si>
  <si>
    <t>9. Acheminement en aval</t>
  </si>
  <si>
    <t>9. Nachgelagerter Transport und Vertrieb</t>
  </si>
  <si>
    <t>9. Iompar agus Dáileadh Iartheachtach</t>
  </si>
  <si>
    <t>9. Trasporto a valle</t>
  </si>
  <si>
    <t>9. Pasrovinis transportavimas ir paskirstymas</t>
  </si>
  <si>
    <t>9. Transport i dystrybucja na niższym szczeblu łańcucha wartości</t>
  </si>
  <si>
    <t>9. Transporte e Distribuição a Jusante</t>
  </si>
  <si>
    <t>9. Prevoz in distribucija navzdol po vrednostni verigi (downstream)</t>
  </si>
  <si>
    <t>9. Transporte y distribución aguas abajo</t>
  </si>
  <si>
    <t>template_label_10_processing_of_sold_products</t>
  </si>
  <si>
    <t>10. Processing of Sold Products</t>
  </si>
  <si>
    <t>10. Forarbejdning af solgte produkter</t>
  </si>
  <si>
    <t>10. Verwerking van verkochte producten</t>
  </si>
  <si>
    <t>10. Transformation des produits vendus</t>
  </si>
  <si>
    <t>10. Verarbeitung verkaufter Produkte</t>
  </si>
  <si>
    <t>10. Próiseáil táirgí díolta</t>
  </si>
  <si>
    <t>10. Trasformazione dei prodotti venduti</t>
  </si>
  <si>
    <t>10. Parduotų produktų apdorojimas</t>
  </si>
  <si>
    <t>10. Przetwarzanie sprzedanych produktów</t>
  </si>
  <si>
    <t>10. Processamento dos Produtos Vendidos</t>
  </si>
  <si>
    <t>10. Predelava prodanih izdelkov</t>
  </si>
  <si>
    <t>10. Procesamiento de productos vendidos</t>
  </si>
  <si>
    <t>template_label_11_use_of_sold_products</t>
  </si>
  <si>
    <t>11. Use of Sold Products</t>
  </si>
  <si>
    <t>11. Brug af solgte produkter</t>
  </si>
  <si>
    <t>Gebruik van verkochte producten</t>
  </si>
  <si>
    <t>11. Utilisation des produits vendus</t>
  </si>
  <si>
    <t>11. Verwendung verkaufter Produkte</t>
  </si>
  <si>
    <t>11. Úsáid táirgí díolta</t>
  </si>
  <si>
    <t>11. Uso dei prodotti venduti</t>
  </si>
  <si>
    <t>11. Parduotų produktų naudojimas</t>
  </si>
  <si>
    <t>11. Wykorzystanie sprzedanych produktów</t>
  </si>
  <si>
    <t>11. Uso de Produtos Vendidos</t>
  </si>
  <si>
    <t>11. Uporaba prodanih izdelkov</t>
  </si>
  <si>
    <t>11. Uso de productos vendidos</t>
  </si>
  <si>
    <t>template_label_12_end_of_life_treatment_of_sold_products</t>
  </si>
  <si>
    <t>12. End-of-Life Treatment of Sold Products</t>
  </si>
  <si>
    <t>12. Behandling ved slutningen af levetiden for solgte produkter</t>
  </si>
  <si>
    <t xml:space="preserve">12. Behandeling van verkochte producten aan het einde van de levensduur </t>
  </si>
  <si>
    <t>12. Traitement en fin de vie des produits vendus</t>
  </si>
  <si>
    <t>12. Behandlung verkaufter Produkte am Ende der Lebensdauer</t>
  </si>
  <si>
    <t xml:space="preserve"> Cóireáil Deireadh Ré ar Tháirgí Díolta</t>
  </si>
  <si>
    <t>12. Trattamento di fine vita dei prodotti venduti</t>
  </si>
  <si>
    <t>12. Parduotų produktų tvarkymas gyvavimo ciklo pabaigoje</t>
  </si>
  <si>
    <t>12. Wycofanie z eksploatacji sprzedanych produktów</t>
  </si>
  <si>
    <t>12. Tratamento de Fim de Vida dos Produtos Vendidos</t>
  </si>
  <si>
    <t>12. Ravnanje s prodanimi izdelki ob koncu njihove življenjske dobe</t>
  </si>
  <si>
    <t>12. Tratamiento al final de la vida útil de los productos vendidos</t>
  </si>
  <si>
    <t>template_label_13_downstream_leased_assets</t>
  </si>
  <si>
    <t>13. Downstream Leased Assets</t>
  </si>
  <si>
    <t>13. Nedstrøms lejede aktiviteter</t>
  </si>
  <si>
    <t>13. Downstream  geleaste activa</t>
  </si>
  <si>
    <t>13. Actifs loués en aval</t>
  </si>
  <si>
    <t>13. Nachgelagerte Leasinggüter</t>
  </si>
  <si>
    <t>13. Sócmhainní Léasaithe Iartheachtacha</t>
  </si>
  <si>
    <t>13. Attivi in leasing a valle</t>
  </si>
  <si>
    <t>13. Pasrovinis išnuomotas turtas</t>
  </si>
  <si>
    <t>13. Aktywa dzierżawione na niższym szczeblu łańcucha wartości</t>
  </si>
  <si>
    <t>13. Ativos Arrendados a Jusante</t>
  </si>
  <si>
    <t>13. Najeta sredstva navzdol po vrednostni verigi (downstream)</t>
  </si>
  <si>
    <t>13. Activos arrendados aguas abajo</t>
  </si>
  <si>
    <t>template_label_14_franchises</t>
  </si>
  <si>
    <t>14. Franchises</t>
  </si>
  <si>
    <t>14. Franchiseaftaler</t>
  </si>
  <si>
    <t>14. Saincheadúnais</t>
  </si>
  <si>
    <t>14. Franchising</t>
  </si>
  <si>
    <t>14. Franšizės</t>
  </si>
  <si>
    <t>14. Franczyzy</t>
  </si>
  <si>
    <t>14. Franquias</t>
  </si>
  <si>
    <t>14. Franšize</t>
  </si>
  <si>
    <t>14. Franquicias</t>
  </si>
  <si>
    <t>template_label_15_investments</t>
  </si>
  <si>
    <t>15. Investments</t>
  </si>
  <si>
    <t>15. Investeringer</t>
  </si>
  <si>
    <t>15. Investeringen</t>
  </si>
  <si>
    <t>15. Investissements</t>
  </si>
  <si>
    <t>15. Investitionen</t>
  </si>
  <si>
    <t>15. Infheistíochtaí</t>
  </si>
  <si>
    <t>15. Investimenti</t>
  </si>
  <si>
    <t>Investicijos</t>
  </si>
  <si>
    <t>15. Inwestycje</t>
  </si>
  <si>
    <t>15. Investimentos</t>
  </si>
  <si>
    <t>15. Naložbe</t>
  </si>
  <si>
    <t>15. Inversiones</t>
  </si>
  <si>
    <t>template_label_total_scope_3_ghg_emissions</t>
  </si>
  <si>
    <t>Total Scope 3 GHG  emissions</t>
  </si>
  <si>
    <t>Total Scope 3 drivhusgasudledninger</t>
  </si>
  <si>
    <t>Totale broeikasgasemissies van Scope 3</t>
  </si>
  <si>
    <t>Émissions totales de GES du scope 3</t>
  </si>
  <si>
    <t>Gesamte Scope 3-Treibhausgasemissionen</t>
  </si>
  <si>
    <t>Comhlán astaíochtaí comhlána GCT Raon Feidhme 3</t>
  </si>
  <si>
    <t>Emissioni totali di gas a effetto serra di ambito 3</t>
  </si>
  <si>
    <t>Bedrosiosios trečios apimties (ŠESD) emisijos</t>
  </si>
  <si>
    <t>Całkowite emisje gazów cieplarnianych zakresu 3</t>
  </si>
  <si>
    <t>Emissões totais de GEE de Âmbito 3</t>
  </si>
  <si>
    <t>Skupne emisije toplogrednih plinov obsega 3</t>
  </si>
  <si>
    <t>Emisiones totales de GEI de Alcance 3</t>
  </si>
  <si>
    <t>template_label_total_scope_1_scope_2_and_scope_3_ghg_emissions_location_based</t>
  </si>
  <si>
    <t>Total Scope 1 Scope 2 and Scope 3 GHG Emissions (location-based)</t>
  </si>
  <si>
    <t>Total Scope 1, Scope 2 og Scope 3 drivhusgasudledninger (lokationsbaseret)</t>
  </si>
  <si>
    <t>Totale Scope 1, Scope 2 en Scope 3  broeikasgasemissies (locatiegebaseerd)</t>
  </si>
  <si>
    <t>Émissions totales de GES des scopes 1, 2 et 3 (approche basée sur la localisation)</t>
  </si>
  <si>
    <t>Gesamte Scope 1-, Scope 2- und Scope 3-Treibhausgasemissionen (standortbezogen)</t>
  </si>
  <si>
    <t>Astaíochtaí comhlána GCT Raon Feidhme 1 Raon Feidhme 2 agus Raon Feidhme 3 (bunaithe ar shuíomh)</t>
  </si>
  <si>
    <t>Emissioni totali di gas a effetto serra di ambito 1, ambito 2 e ambito 3 (basate sulla posizione)</t>
  </si>
  <si>
    <t>Bendrosios pirmos, antros (vietos metodu) ir trečios apimties ŠESD emisijos</t>
  </si>
  <si>
    <t>Całkowite emisje gazów cieplarnianych zakresu 1, zakresu 2 i zakresu 3 (według metody opartej na lokalizacji)</t>
  </si>
  <si>
    <t>Emissões brutas totais de GEE de Âmbito 1, Âmbito 2 e Âmbito 3 (baseadas na localização)</t>
  </si>
  <si>
    <t>Skupne lokacijske emisije toplogrednih plinov obsega 1, obsega 2 in obsega 3</t>
  </si>
  <si>
    <t>Emisiones totales de GEI de Alcance 1, Alcance 2 y Alcance 3 (basadas en la ubicación)</t>
  </si>
  <si>
    <t>template_label_total_scope_1_scope_2_and_scope_3_ghg_emissions_market_based</t>
  </si>
  <si>
    <t>Total Scope 1 Scope 2 and Scope 3 GHG Emissions (market-based)</t>
  </si>
  <si>
    <t xml:space="preserve">Total Scope 1, Scope 2 og Scope 3  drivhusgasudledninger (markedsbaseret) </t>
  </si>
  <si>
    <t>Totale broeikasgasemissies van scope 1, scope 2 en scope 3 (marktgebaseerd)</t>
  </si>
  <si>
    <t>Émissions totales de GES des scopes 1, 2 et 3 (approche basée sur le marché)</t>
  </si>
  <si>
    <t>Gesamte Scope 1-, Scope 2- und Scope 3-Treibhausgasemissionen (marktbasiert)</t>
  </si>
  <si>
    <t>Astaíochtaí comhlána GCT Raon Feidhme 1 Raon Feidhme 2 agus Raon Feidhme 3 (bunaithe ar an margadh)</t>
  </si>
  <si>
    <t>Emissioni totali di gas a effetto serra di ambito 1, ambito 2 e ambito 3 (basate sul mercato)</t>
  </si>
  <si>
    <t>Bendrosios pirmos, antros (rinkos metodu) ir trečios apimties ŠESD emisijos</t>
  </si>
  <si>
    <t>Całkowite emisje gazów cieplarnianych zakresu 1, zakresu 2 i zakresu 3 (według metody opartej na rynku)</t>
  </si>
  <si>
    <t>Emissões totais de GEE de Âmbito 1, Âmbito 2 e Âmbito 3 (baseadas no mercado)</t>
  </si>
  <si>
    <t>Skupne tržne emisije toplogrednih plinov obsega 1, obsega 2 in obsega 3</t>
  </si>
  <si>
    <t>Emisiones totales de gases de efecto invernadero de Alcance 1, Alcance 2 y Alcance 3 (basadas en el mercado)</t>
  </si>
  <si>
    <t>template_label_c3_disclosure_of_list_of_main_actions_the_entity_seeks_in_order_to_achieve_its_targets</t>
  </si>
  <si>
    <t>C3 - Disclosure of list of main actions the entity seeks in order to achieve its targets</t>
  </si>
  <si>
    <t>C3 - Liste over de vigtigste foranstaltninger, som virksomheden søger at gennemføre for at nå sine mål</t>
  </si>
  <si>
    <t>C3 -  Rapportage van de lijst van belangrijkste acties die de entiteit nastreeft om haar doelstellingen te bereiken</t>
  </si>
  <si>
    <t>C3 - Publication de la liste des principales actions que l'entreprise entend mettre en œuvre pour atteindre ses cibles</t>
  </si>
  <si>
    <t>C3 – Angabe der wesentlichen Maßnahmen, die das Unternehmen zur Erreichung seiner Ziele durchzuführen beabsichtigt</t>
  </si>
  <si>
    <t>C3 - Nochtadh liosta de na príomhghníomhartha a fhéachann an gnóthas lena gcur chun feidhme chun a spriocanna a bhaint amach</t>
  </si>
  <si>
    <t>C3 - Comunicazione dell'elenco delle principali azioni che l'impresa intende attuare per raggiungere i propri obiettivi</t>
  </si>
  <si>
    <t>C3 – Pagrindinių veiksmų, kuriuos įmonė numato įgyvendinti siekdama savo tikslų, sąrašo atskleidimas</t>
  </si>
  <si>
    <t>C3 - wykaz głównych działań, które jednostka zamierza wdrożyć, aby osiągnąć swoje cele</t>
  </si>
  <si>
    <t>C3 - Divulgação da lista das principais ações que a entidade pretende implementar para atingir os seus objetivos</t>
  </si>
  <si>
    <t>C3 - Razkritje seznama glavnih ukrepov, ki jih podjetje želi izvesti za dosego svojih ciljev</t>
  </si>
  <si>
    <t>C3 - Divulgación de la lista de principales actuaciones que la entidad busca llevar a cabo para alcanzar sus metas</t>
  </si>
  <si>
    <t>template_label_c3_transition_plan_for_undertakings_operating_in_high_climate_impact_sectors</t>
  </si>
  <si>
    <t>C3 - Transition plan for undertakings operating in high climate impact sectors</t>
  </si>
  <si>
    <t>C3 - Omstillingsplan for virksomheder, der opererer i sektorer med stor klimaindvirkning</t>
  </si>
  <si>
    <t>C3 – Transitieplan voor ondernemingen die actief zijn in sectoren met een hoge klimaatimpact</t>
  </si>
  <si>
    <t>C3 - Plan de transition pour les entreprises opérant dans des secteurs à fort impact climatique</t>
  </si>
  <si>
    <t>C3 – Übergangsplan für Unternehmen, die in klimaintensiven Sektoren tätig sind</t>
  </si>
  <si>
    <t>C3 - Plean aistrithe do ghnóthais atá ag feidhmiú in earnálacha ardtionchair aeráide</t>
  </si>
  <si>
    <t>C3 - Piano di transizione per le imprese che operano in settori ad alto impatto climatico</t>
  </si>
  <si>
    <t>C3 – Perėjimo planas įmonėms, veikiančioms didelio poveikio klimatui sektoriuose</t>
  </si>
  <si>
    <t>C3 – Plan transformacji dla jednostek prowadzących działalność w sektorach o znacznym oddziaływaniu na klimat</t>
  </si>
  <si>
    <t>C3 - Plano de transição para empresas que operam em setores com elevado impacto climático</t>
  </si>
  <si>
    <t>C3 - Načrt prehoda za podjetja, ki delujejo v sektorjih z velikim vplivom na podnebje</t>
  </si>
  <si>
    <t>C3 - Plan de transición para empresas que operan en sectores de alto impacto climático</t>
  </si>
  <si>
    <t>template_label_is_the_undertaking_operating_in_high_impact_sectors</t>
  </si>
  <si>
    <t>Is the undertaking operating in high impact sectors?</t>
  </si>
  <si>
    <t xml:space="preserve">Opererer virksomheden i en sektor med stor klimaindvirkning? </t>
  </si>
  <si>
    <t>Is de onderneming actief in sectoren met een grote impact?</t>
  </si>
  <si>
    <t>L'entreprise opère-t-elle dans des secteurs à fort impact ?</t>
  </si>
  <si>
    <t>Ist das Unternehmen in klimaintensiven Sektoren tätig?</t>
  </si>
  <si>
    <t>An bhfuil an gnóthas ag feidhmiú in earnálacha ardtionchair?</t>
  </si>
  <si>
    <t>L'impresa opera in settori ad alto impatto?</t>
  </si>
  <si>
    <t>Ar įmonė veikia didelio poveikio klimatui sektoriuose?</t>
  </si>
  <si>
    <t>Czy jednostka prowadzi działalność w sektorach o znacznym oddziaływaniu na klimat?</t>
  </si>
  <si>
    <t>A Empresa opera em setores de elevado impacto?</t>
  </si>
  <si>
    <t>Ali podjetje deluje v sektorjih z velikim vplivom na podnebje?</t>
  </si>
  <si>
    <t>¿La empresa opera en sectores de alto impacto?</t>
  </si>
  <si>
    <t>template_label_status_of_implementation_of_a_transition_plan_in_relation_to_climate_change_mitigation</t>
  </si>
  <si>
    <t>Status of implementation of a transition plan in relation to climate change mitigation</t>
  </si>
  <si>
    <t>Status for implementering af en omstillingsplan i relation til modvirkning af klimaændringer</t>
  </si>
  <si>
    <t>Status van de uitvoering van een transitieplan in relatie tot mitigatie van klimaatverandering</t>
  </si>
  <si>
    <t>Statut de la mise en œuvre d’un plan de transition en relation avec l’atténuation du changement climatique</t>
  </si>
  <si>
    <t>Status der Umsetzung eines Übergangsplans zur Minderung des Klimawandels</t>
  </si>
  <si>
    <t>Stádas cur chun feidhme plean aistrithe i ndáil le maolú ar an athrú aeráide</t>
  </si>
  <si>
    <t>Stato di attuazione di un piano di transizione per la mitigazione dei cambiamenti climatici</t>
  </si>
  <si>
    <t>Perėjimo plano įgyvendinimo statusas klimato kaitos švelninimo atžvilgiu</t>
  </si>
  <si>
    <t>Status wdrożenia planu transformacji w związku z łagodzeniem zmian klimatu</t>
  </si>
  <si>
    <t>Estado da implementação de um plano de transição relacionado com a mitigação das alterações climáticas</t>
  </si>
  <si>
    <t>Stanje izvajanja načrta prehoda za blažitev podnebnih sprememb</t>
  </si>
  <si>
    <t>Estado de implementación de un plan de transición en relación con la mitigación del cambio climático</t>
  </si>
  <si>
    <t>template_label_description_of_a_transition_plan_for_climate_change_mitigation</t>
  </si>
  <si>
    <t>Description of a transition plan for climate change mitigation including an explanation of how it is contributing to reduce GHG emissions</t>
  </si>
  <si>
    <t>Beskrivelse af en overgangsplan for modvirkning af klimaændringer, herunder en redegørelse for, hvordan den bidrager til at reducere drivhusgasudledninger (GHG)</t>
  </si>
  <si>
    <t>Beschrijving van een transitieplan voor klimaatmitigatie, inclusief een toelichting op hoe het bijdraagt aan het verminderen van broeikasgasemissies.</t>
  </si>
  <si>
    <t>Description d’un plan de transition pour l’atténuation du changement climatique comprenant une explication de la manière dont il contribue à réduire les émissions de GES</t>
  </si>
  <si>
    <t>Beschreibung eines Übergangsplans für den Klimaschutz, einschließlich einer Erläuterung, wie dieser dazu beiträgt, die THG-Emissionen zu verringern</t>
  </si>
  <si>
    <t>Cur síos ar phlean aistrithe chun an t-athrú aeráide a mhaolú, lena n-áirítear míniú ar an gcaoi a bhfuil sé ag cur le hastaíochtaí gás ceaptha teasa a laghdú</t>
  </si>
  <si>
    <t>Descrizione di un piano di transizione per la mitigazione dei cambiamenti climatici, comprensa una spiegazione del modo in cui il piano sta contribuendo a ridurre le emissioni di gas a effetto serra.</t>
  </si>
  <si>
    <t xml:space="preserve">Kklimato kaitos sušvelninimo pereinamojo laikotarpio plano aprašymas, įskaitant paaiškinimą, kaip jis prisideda prie ŠESD emisijų mažinimo
</t>
  </si>
  <si>
    <t>Opis planu transformacji na rzecz łagodzenia zmian klimatu wraz z wyjaśnieniem, w jaki sposób przyczynia się on do redukcji emisji gazów cieplarnianych</t>
  </si>
  <si>
    <t>Descrição de um plano de transição para a mitigação das alterações climáticas, incluindo uma explicação de como está a contribuir para a redução das emissões de GEE</t>
  </si>
  <si>
    <t>Opis načrta prehoda za blažitev podnebnih sprememb, vključno z razlago, kako prispeva k zmanjšanju emisij toplogrednih plinov</t>
  </si>
  <si>
    <t>Descripción de un plan de transición para la mitigación del cambio climático, incluida una explicación de cómo contribuye a reducir las emisiones de gases de efecto invernadero (GEI)</t>
  </si>
  <si>
    <t>template_label_date_of_foreseen_adoption_of_transition_plan_for_undertaking_not_having_adopted_transition_plan_yet</t>
  </si>
  <si>
    <t>Date of foreseen adoption of transition plan for undertaking not having adopted transition plan yet</t>
  </si>
  <si>
    <t>Dato for forventet vedtagelse af omstillingsplan hvis endnu ikke vedtaget</t>
  </si>
  <si>
    <t>Datum van verwachte vaststelling van het transitieplan voor ondernemingen die nog geen transitieplan hebben vastgesteld</t>
  </si>
  <si>
    <t>Date prévue d’adoption du plan de transition pour l’entreprise n’ayant pas encore adopté de plan de transition</t>
  </si>
  <si>
    <t>Datum der vorgesehenen Annahme des Übergangsplans für Unternehmen, die noch keinen Übergangsplan angenommen haben</t>
  </si>
  <si>
    <t>Dáta réamh-mheasta glacadh leis an bplean idirthréimhseach do ghnóthais nach bhfuil glactha fós ag an bplean idirthréimhseach</t>
  </si>
  <si>
    <t>Data prevista per l'adozione del piano di transizione per l'impresa che non ha ancora adottato un piano di transizione</t>
  </si>
  <si>
    <t>Numatoma pereinamojo plano patvirtinimo data įmonei, kuri dar nėra pasitvirtinusi pereinamojo plano</t>
  </si>
  <si>
    <t>Data przewidywanego przyjęcia planu transformacji dla jednostki, która jeszcze nie przyjęła planu transformacji</t>
  </si>
  <si>
    <t>Data de adoção prevista do plano de transição para a entidade que ainda não adotou um plano de transição</t>
  </si>
  <si>
    <t xml:space="preserve">Predvideni datum sprejetja načrta prehoda za podjetja, ki ga še niso sprejela </t>
  </si>
  <si>
    <t>Fecha prevista de adopción del plan de transición para la empresa que aún no ha adoptado un plan de transición</t>
  </si>
  <si>
    <t>template_label_year</t>
  </si>
  <si>
    <t>År</t>
  </si>
  <si>
    <t>Jaar</t>
  </si>
  <si>
    <t>Année</t>
  </si>
  <si>
    <t>Jahr</t>
  </si>
  <si>
    <t>Dáta réamh-mheasta glacadh leis an bplean aistrithe do ghnóthais nach bhfuil glactha fós ag an bplean aistrithe</t>
  </si>
  <si>
    <t>Anno</t>
  </si>
  <si>
    <t>Metai</t>
  </si>
  <si>
    <t>Rok</t>
  </si>
  <si>
    <t>Ano</t>
  </si>
  <si>
    <t>Leto</t>
  </si>
  <si>
    <t>Año</t>
  </si>
  <si>
    <t>template_label_month</t>
  </si>
  <si>
    <t>Måned</t>
  </si>
  <si>
    <t>Maand</t>
  </si>
  <si>
    <t>Mois</t>
  </si>
  <si>
    <t>Monat</t>
  </si>
  <si>
    <t>Mí</t>
  </si>
  <si>
    <t>Mese</t>
  </si>
  <si>
    <t>Mėnuo</t>
  </si>
  <si>
    <t>Miesiąc</t>
  </si>
  <si>
    <t>Mês</t>
  </si>
  <si>
    <t>Mesec</t>
  </si>
  <si>
    <t>Mes</t>
  </si>
  <si>
    <t>template_label_day</t>
  </si>
  <si>
    <t>Day</t>
  </si>
  <si>
    <t>Dag</t>
  </si>
  <si>
    <t>Jour</t>
  </si>
  <si>
    <t>Tag</t>
  </si>
  <si>
    <t>Lá</t>
  </si>
  <si>
    <t>Giorno</t>
  </si>
  <si>
    <t>Diena</t>
  </si>
  <si>
    <t>Dzień</t>
  </si>
  <si>
    <t>Dia</t>
  </si>
  <si>
    <t>Dan</t>
  </si>
  <si>
    <t>Día</t>
  </si>
  <si>
    <t>template_label_b3_greenhouse_gas_emission_intensity_per_turnover</t>
  </si>
  <si>
    <t>B3 - Greenhouse gas emission intensity per turnover (in tCO2e)</t>
  </si>
  <si>
    <t>B3 - Drivhusgasintensitet</t>
  </si>
  <si>
    <t>B3 - Intensiteit van de broeikasgasemissies per omzet (in tCO2e)</t>
  </si>
  <si>
    <t>B3 - Intensité des émissions de gaz à effet de serre sur la base du chiffre d'affaires (en  tCO₂e)</t>
  </si>
  <si>
    <t>B3 - Treibhausgas-Emissionsintensität bezogen auf Umsatzerlöse (in tCO2e)</t>
  </si>
  <si>
    <t>B3 - Déine astaíochtaí gás ceaptha teasa in aghaidh an láimhdeachas (i tCO2e)</t>
  </si>
  <si>
    <t>B3 - Intensità delle emissioni di gas a effetto serra per ricavi delle vendite e delle prestazioni (in tCO2e)</t>
  </si>
  <si>
    <t>B3 - Šiltnamio efektą sukeliančių dujų (ŠESD) intensyvumas pagal apyvartą (tCO2e)</t>
  </si>
  <si>
    <t>B3 - Intensywność emisji gazów cieplarnianych na jednostkę obrotu (w tCO2e)</t>
  </si>
  <si>
    <t>B3 - Intensidade das emissões de gases com efeito de estufa por volume de negócios (em teCO2)</t>
  </si>
  <si>
    <t>B3 - Intenzivnost emisij toplogrednih plinov glede na promet (v tCO2e)</t>
  </si>
  <si>
    <t>B3 - Intensidad de las emisiones de gases de efecto invernadero por facturación (en tCO2e)</t>
  </si>
  <si>
    <t>template_label_scope_1_and_scope_2_ghg_emissions_intensity_location_based</t>
  </si>
  <si>
    <t>Scope 1 and Scope 2 GHG Emissions intensity (location-based)</t>
  </si>
  <si>
    <t>Scope 1 og Scope 2 drivhusgasintensitet (lokationsbaseret)</t>
  </si>
  <si>
    <t>Scope 1 en Scope 2 Broeikasgasemissie-intensiteit (locatiegebaseerd)</t>
  </si>
  <si>
    <t>Intensité des émissions de GES des scopes 1 et 2 (approche basée sur la localisation)</t>
  </si>
  <si>
    <t>Scope 1- und Scope 2-THG-Emissionsintensität (standortbezogen)</t>
  </si>
  <si>
    <t>Déine astaíochtaí GCT Raon Feidhme 1 agus Raon Feidhme 2 (bunaithe ar shuíomh)</t>
  </si>
  <si>
    <t>Intensità delle emissioni di gas a effetto serra di ambito 1 e ambito 2 (basate sulla posizione)</t>
  </si>
  <si>
    <t>Pirmos ir antros apimties (vietos metodu) ŠESD emisijų intensyvumas</t>
  </si>
  <si>
    <t>Intensywność emisji gazów cieplarnianych z zakresu 1 i zakresu 2 (według metody opartej na lokalizacji)</t>
  </si>
  <si>
    <t>Intensidade das emissões de GEE do Âmbito 1 e 2 (baseadas na localização)</t>
  </si>
  <si>
    <t>Intenzivnost lokacijskih emisij toplogrednih plinov obsega 1 in obsega 2</t>
  </si>
  <si>
    <t>Intensidad de las emisiones de GEI de Alcance 1 y Alcance 2 (basada en la ubicación)</t>
  </si>
  <si>
    <t>template_label_scope_1_and_scope_2_ghg_emissions_intensity_market_based</t>
  </si>
  <si>
    <t>Scope 1 and Scope 2 GHG Emissions intensity (market-based)</t>
  </si>
  <si>
    <t>Scope 1 og Scope 2 drivhusgasintensitet (markedsbaseret)</t>
  </si>
  <si>
    <t>Scope 1 en Scope 2 Broeikasgasemissie-intensiteit  (marktgebaseerd)</t>
  </si>
  <si>
    <t>Intensité des émissions de GES des scopes 1 et 2 (approche basée sur le marché)</t>
  </si>
  <si>
    <t>Scope 1- und Scope 2-THG-Emissionsintensität (marktbasiert)</t>
  </si>
  <si>
    <t>Déine astaíochtaí GCT Raon Feidhme 1 agus Raon Feidhme 2 (bunaithe ar an margadh)</t>
  </si>
  <si>
    <t>Intensità delle emissioni di gas a effetto serra di ambito 1 e ambito 2 (basate sul mercato)</t>
  </si>
  <si>
    <t>Pirmos ir antros apimties (rinkos metodu) ŠESD emisijų intensyvumas</t>
  </si>
  <si>
    <t>Intensywność emisji gazów cieplarnianych z zakresu 1 i zakresu 2 (według metody opartej na rynku)</t>
  </si>
  <si>
    <t>Intensidade das emissões de GEE do Âmbito 1 e 2 (baseadas no mercado)</t>
  </si>
  <si>
    <t>Intenzivnost tržnih emisij toplogrednih plinov obsega 1 in obsega 2</t>
  </si>
  <si>
    <t>Intensidad de las emisiones de GEI de Alcance 1 y Alcance 2 (basado en el mercado)</t>
  </si>
  <si>
    <t>template_label_total_scope_1_scope_2_and_scope_3_ghg_emissions_intensity_location_based</t>
  </si>
  <si>
    <t>Total Scope 1 Scope 2 and Scope 3 GHG Emissions intensity (location-based)</t>
  </si>
  <si>
    <t>Samlet Scope 1, Scope 2 og Scope 3 drivhusgasintensitet (lokationsbaseret)</t>
  </si>
  <si>
    <t>Totale Scope 1, Scope 2 en Scope 3 broeikasgasemissies-intensiteit  (locatiegebonden)</t>
  </si>
  <si>
    <t>Intensité des émissions totales de GES des scopes 1, 2 et 3 (approche basée sur la localisation)</t>
  </si>
  <si>
    <t>Gesamte Scope 1-, Scope 2- und Scope-3-THG-Emissionsintensität (standortbezogen)</t>
  </si>
  <si>
    <t xml:space="preserve">Déine astaíochtaí comhlána GCT Raon Feidhme 1, Raon Feidhme 2 agus Raon Feidhme 3 (bunaithe ar shuíomh) </t>
  </si>
  <si>
    <t>Intensità totale delle emissioni di gas a effetto serra di ambito 1, ambito 2 e ambito 3 (basate sulla posizione)</t>
  </si>
  <si>
    <t>Bendras pirmos, antros (vietos metodu) ir trečios apimties ŠESD emisijų intensyvumas</t>
  </si>
  <si>
    <t>Całkowita intensywność emisji gazów cieplarnianych z zakresu 1 i zakresu 2 (według metody opartej na lokalizacji)</t>
  </si>
  <si>
    <t>Intensidade total das emissões de GEE do Âmbito 1, Âmbito 2 e Âmbito 3 (baseadas na localização)</t>
  </si>
  <si>
    <t>Skupna intenzivnost lokacijskih emisij toplogrednih plinov za obseg 1, obseg 2 in obseg 3</t>
  </si>
  <si>
    <t>Intensidad total de emisiones de GEI Alcance 1, Alcance 2 y Alcance 3 (basada en la ubicación)</t>
  </si>
  <si>
    <t>template_label_total_scope_1_scope_2_and_scope_3_ghg_emissions_intensity_market_based</t>
  </si>
  <si>
    <t>Total Scope 1 Scope 2 and Scope 3 GHG Emissions intensity (market-based)</t>
  </si>
  <si>
    <t xml:space="preserve">Samlet Scope 1, Scope 2 og Scope 3 drivhusgasintensitet (markedsbaseret) </t>
  </si>
  <si>
    <t>Totale Scope 1, Scope 2 en Scope 3 broeikasgasemissies-intensiteit (marktgebaseerd)</t>
  </si>
  <si>
    <t>Intensité des émissions totales de GES des scopes 1, 2 et 3 (approche basée sur le marché)</t>
  </si>
  <si>
    <t>Gesamte Scope 1-, Scope 2- und Scope-3-THG-Emissionsintensität (marktbasiert)</t>
  </si>
  <si>
    <t xml:space="preserve">Déine astaíochtaí comhlána GCT Raon Feidhme 1, Raon Feidhme 2 agus Raon Feidhme 3 (bunaithe ar an margadh) </t>
  </si>
  <si>
    <t>Intensità totale delle emissioni di gas a effetto serra di ambito 1, ambito 2 e ambito 3 (basate sul mercato)</t>
  </si>
  <si>
    <t>Bendras pirmos, antros (rinkos metodu) ir trečios apimties ŠESD emisijų intensyvumas</t>
  </si>
  <si>
    <t>Całkowita intensywność emisji gazów cieplarnianych zakresu 1, zakresu 2 i zakresu 3 (według metody opartej na rynku)</t>
  </si>
  <si>
    <t>Intensidade total das emissões de GEE do Âmbito 1, Âmbito 2 e Âmbito 3 (baseadas no mercado)</t>
  </si>
  <si>
    <t>Skupna intenzivnost tržnih emisij toplogrednih plinov za obseg 1, obseg 2 in obseg 3</t>
  </si>
  <si>
    <t>Intensidad total de emisiones de GEI de Alcance 1, Alcance 2 y Alcance 3 (basada en el mercado)</t>
  </si>
  <si>
    <t>template_label_b4_pollution_of_air_water_and_soil</t>
  </si>
  <si>
    <t>B4 - Pollution of air water and soil</t>
  </si>
  <si>
    <t>B4 – Verontreiniging van lucht, water en bodem</t>
  </si>
  <si>
    <t>Pollution de l'air, de l'eau et des sols</t>
  </si>
  <si>
    <t>B4 – Luft-, Wasser- und Bodenverschmutzung</t>
  </si>
  <si>
    <t>B4 – Truailliú aeir, uisce agus ithreach</t>
  </si>
  <si>
    <t>B4 – Oro, vandens ir dirvožemio tarša</t>
  </si>
  <si>
    <t>B4 – Onesnaževanje zraka, vode in tal</t>
  </si>
  <si>
    <t>template_label_required_by_law_or_other_national_regulations_to_report_to_competent_authorities_its_emissions_of_pollutants</t>
  </si>
  <si>
    <t>Is the undertaking already required by law or other national regulations to report to competent authorities its emissions of pollutants or does it already voluntarily report on them according to an Environmental Management System?</t>
  </si>
  <si>
    <t>Er virksomheden allerede forpligtet ved lov eller andre nationale bestemmelser til at rapportere sine udledninger af forurenende stoffer til de kompetente myndigheder, eller rapporterer den allerede frivilligt om dem i henhold til et miljøledelsessystem?</t>
  </si>
  <si>
    <t>Is de onderneming op grond van de wet of andere nationale regelgeving al verplicht om haar emissies van verontreinigende stoffen te melden aan de bevoegde autoriteiten, of rapporteert zij hier al vrijwillig over op basis van een milieumanagementsysteem?    I</t>
  </si>
  <si>
    <t>L’entreprise est-elle déjà tenue, en vertu de la législation ou d’autres réglementations nationales, de déclarer aux autorités compétentes ses émissions de polluants, ou les déclare-t-elle déjà volontairement conformément à un système de management environnemental ?</t>
  </si>
  <si>
    <t>Ist das Unternehmen aufgrund rechtlicher oder sonstiger nationaler Vorschriften bereits verpflichtet, den zuständigen Behörden seine Schadstoffemissionen zu melden, oder meldet es diese bereits freiwillig im Rahmen eines Umweltmanagementsystems?</t>
  </si>
  <si>
    <t>An gceanglaítear ar an ngnóthas le dlí nó le rialacháin náisiúnta eile cheana féin a chuid astaíochtaí truailleán a thuairisciú d'údaráis inniúla nó an dtuairiscíonn sé go deonach orthu cheana féin de réir Córas Bainistíochta Comhshaoil?</t>
  </si>
  <si>
    <t>L'impresa è già tenuta, in forza di leggi o altre normative nazionali, a comunicare alle autorità competenti le proprie emissioni di inquinanti o riferisce volontariamente al riguardo nel quadro di un sistema di gestione ambientale?</t>
  </si>
  <si>
    <t>Ar ūkio subjektas jau pagal įstatymą ar kitus nacionalinius reglamentus privalo pranešti kompetentingoms institucijoms apie teršalų išmetimą ar jau savanoriškai apie juos praneša pagal Aplinkos valdysenos sistemą?</t>
  </si>
  <si>
    <t>Czy jednostka jest już zobowiązana przepisami prawa lub innymi krajowymi regulacjami do zgłaszania właściwym organom emisji zanieczyszczeń lub czy zgłasza je dobrowolnie zgodnie z systemem zarządzania środowiskowego?</t>
  </si>
  <si>
    <t>A entidade já é obrigada por lei ou outros regulamentos nacionais a relatar às autoridades competentes as suas emissões de poluentes ou já as reporta voluntariamente de acordo com um Sistema de Gestão Ambiental?</t>
  </si>
  <si>
    <t>Ali je podjetje že po zakonu ali drugih nacionalnih predpisih dolžno pristojnim organom poročati o svojih emisijah onesnaževal ali pa je o njih že prostovoljno poročalo v skladu s sistemom okoljskega ravnanja?</t>
  </si>
  <si>
    <t>¿La empresa ya está legalmente obligada por la ley u otras normativas nacionales a informar a las autoridades competentes sobre sus emisiones de contaminantes o ya las informa voluntariamente conforme a un Sistema de Gestión Ambiental?</t>
  </si>
  <si>
    <t>template_label_is_this_disclosure_already_publicly_available</t>
  </si>
  <si>
    <t>Is this disclosure already publicly available?</t>
  </si>
  <si>
    <t>Er denne oplysning allerede offentligt tilgængelig?</t>
  </si>
  <si>
    <t>Is deze rapportage al publiek beschikbaar ?</t>
  </si>
  <si>
    <t>Cette information est-elle déjà accessible au public ?</t>
  </si>
  <si>
    <t>Wurde diese Angabe bereits an anderer Stelle öffentlich verfügbar gemacht?</t>
  </si>
  <si>
    <t>An bhfuil an nochtadh seo ar fáil go poiblí cheana féin?</t>
  </si>
  <si>
    <t>Questa informativa è già disponibile al pubblico?</t>
  </si>
  <si>
    <t>Ar šis atskleidimas jau yra viešai prieinamas?</t>
  </si>
  <si>
    <t>Czy to ujawnienie jest już publicznie dostępne?</t>
  </si>
  <si>
    <t>Esta divulgação já está disponível publicamente?</t>
  </si>
  <si>
    <t>Ali je to razkritje že javno dostopno?</t>
  </si>
  <si>
    <t>¿Esta divulgación ya está públicamente disponible?</t>
  </si>
  <si>
    <t>template_label_please_provide_the_relevant_url_link_or_hyperlink_of_where_this_information_is_reported</t>
  </si>
  <si>
    <t>Please provide the relevant URL link or hyperlink of where this information is reported</t>
  </si>
  <si>
    <t>Angiv venligst det relevante URL-link eller hyperlink, hvor disse oplysninger er rapporteret</t>
  </si>
  <si>
    <t>Gelieve de relevante URL-link of hyperlink te verstrekken waar deze informatie wordt gerapporteerd.</t>
  </si>
  <si>
    <t>Veuillez fournir le lien URL pertinent ou l’hyperlien indiquant où ces informations sont publiées.</t>
  </si>
  <si>
    <t>Bitte geben Sie den entsprechenden URL-Link oder Hyperlink an, unter dem diese Informationen berichtet werden.</t>
  </si>
  <si>
    <t>Tabhair an nasc ábhartha URL nó an hipearnasc ábhartha ar an áit a dtuairiscítear an fhaisnéis seo</t>
  </si>
  <si>
    <t>Si prega di fornire l'URL pertinente o inserire il collegamento ipertestuale dove queste informazioni figurano.</t>
  </si>
  <si>
    <t>Prašome nurodyti aktualią nuorodą (URL) į šios informacijos skelbimo vietą</t>
  </si>
  <si>
    <t>Proszę podać odpowiedni odnośnik URL lub hiperłącze do miejsca, w którym informacje te są podane</t>
  </si>
  <si>
    <t>Por favor, forneça o link URL relevante ou a hiperligação onde esta informação é reportada.</t>
  </si>
  <si>
    <t>Prosimo, navedite ustrezno povezavo URL ali hiperpovezavo, kjer so te informacije navedene.</t>
  </si>
  <si>
    <t>Por favor, proporcione el enlace URL relevante o el hipervínculo donde se informa esta información.</t>
  </si>
  <si>
    <t>template_label_please_select_the_unit_used_for_reporting_the_amount</t>
  </si>
  <si>
    <t>Please select the unit used for reporting the amount (i.e. either kg or tonne)</t>
  </si>
  <si>
    <t>Vælg venligst den enhed, der bruges til rapportering af mængden (dvs. enten kg eller ton)</t>
  </si>
  <si>
    <t>Selecteer de eenheid die wordt gebruikt voor het rapporteren van de hoeveelheid (d.w.z. kg of ton)</t>
  </si>
  <si>
    <t>Veuillez sélectionner l'unité utilisée pour reporter la quantité (c.-à-d. soit en kg ou en tonne)</t>
  </si>
  <si>
    <t>Bitte wählen Sie die Einheit aus, die für die Mengenangabe verwendet wird (d. h. entweder kg oder Tonne).</t>
  </si>
  <si>
    <t>Roghnaigh an t-aonad a úsáidtear chun an méid a thuairisciú (i.e. kg nó tonna)</t>
  </si>
  <si>
    <t>Selezionare l'unità utilizzata per la comunicazione della quantità (ad esempio kg o tonnellata)</t>
  </si>
  <si>
    <t>Pasirinkite matavimo vienetą, kuriuo pateiksite kiekį (t. y. kg arba t).</t>
  </si>
  <si>
    <t>Proszę wybrać jednostkę używaną do sprawozdania ilości (tj. kg lub tona)</t>
  </si>
  <si>
    <t>Por favor, selecione a unidade utilizada para reportar o montante (i.e. kg ou tonelada)</t>
  </si>
  <si>
    <t>Izberite mersko enoto za podajanje količine (npr. kg ali tono).</t>
  </si>
  <si>
    <t>Por favor, seleccione la unidad utilizada para informar la cantidad (es decir, ya sea kg o tonelada)</t>
  </si>
  <si>
    <t>template_label_row_id</t>
  </si>
  <si>
    <t>Row ID</t>
  </si>
  <si>
    <t>Række-ID</t>
  </si>
  <si>
    <t>Rij-ID</t>
  </si>
  <si>
    <t>ID de ligne</t>
  </si>
  <si>
    <t>Zeilen-Nr.</t>
  </si>
  <si>
    <t>Aitheantas as a chéile</t>
  </si>
  <si>
    <t>ID Riga</t>
  </si>
  <si>
    <t>Eilutės ID</t>
  </si>
  <si>
    <t>Identyfikator wiersza</t>
  </si>
  <si>
    <t>ID da linha</t>
  </si>
  <si>
    <t>ID vrstice</t>
  </si>
  <si>
    <t>ID de fila</t>
  </si>
  <si>
    <t>template_label_pollutant</t>
  </si>
  <si>
    <t>Pollutant</t>
  </si>
  <si>
    <t xml:space="preserve">Forurenende stof
</t>
  </si>
  <si>
    <t>Verontreinigende stof</t>
  </si>
  <si>
    <t>Polluant</t>
  </si>
  <si>
    <t>Schadstoff</t>
  </si>
  <si>
    <t>Truailleán</t>
  </si>
  <si>
    <t xml:space="preserve">Inquinante
</t>
  </si>
  <si>
    <t>Teršalas</t>
  </si>
  <si>
    <t>Czynnik zanieczyszczający</t>
  </si>
  <si>
    <t>Poluente</t>
  </si>
  <si>
    <t>Onesnaževalo</t>
  </si>
  <si>
    <t>Contaminante</t>
  </si>
  <si>
    <t>template_label_emission_to_air</t>
  </si>
  <si>
    <t>Emission to air</t>
  </si>
  <si>
    <t>Udledning til luft</t>
  </si>
  <si>
    <t>Emissie  naar de lucht</t>
  </si>
  <si>
    <t>Rejets dans l'air</t>
  </si>
  <si>
    <t>Emissionen in die Luft</t>
  </si>
  <si>
    <t>Astaíochtaí san aer</t>
  </si>
  <si>
    <t>Emissione nell'aria</t>
  </si>
  <si>
    <t>Išmetimas į orą</t>
  </si>
  <si>
    <t>Emisja do powietrza</t>
  </si>
  <si>
    <t>Emissão para o ar</t>
  </si>
  <si>
    <t>Emisije v zrak</t>
  </si>
  <si>
    <t>Emisiones a la atmosfera</t>
  </si>
  <si>
    <t>template_label_emission_to_water</t>
  </si>
  <si>
    <t>Emission to water</t>
  </si>
  <si>
    <t>Udledning til vand</t>
  </si>
  <si>
    <t>Emissie naar water</t>
  </si>
  <si>
    <t>Rejets dans l'eau</t>
  </si>
  <si>
    <t>Emissionen in Wasser und Gewässer</t>
  </si>
  <si>
    <t>Astaíochtaí chuig uisce</t>
  </si>
  <si>
    <t>Emissione nell'acqua</t>
  </si>
  <si>
    <t>Išmetimas į vandenį</t>
  </si>
  <si>
    <t>Emisja do wody</t>
  </si>
  <si>
    <t>Emissão para a água</t>
  </si>
  <si>
    <t>Emisije v vodo</t>
  </si>
  <si>
    <t>Vertidos al agua</t>
  </si>
  <si>
    <t>template_label_emission_to_soil</t>
  </si>
  <si>
    <t>Emission to soil</t>
  </si>
  <si>
    <t>Udledning til jord</t>
  </si>
  <si>
    <t>Emissie naar de bodem</t>
  </si>
  <si>
    <t>Rejets dans les sols</t>
  </si>
  <si>
    <t>Emissionen in den Boden</t>
  </si>
  <si>
    <t>Astaíochtaí chuig ithir</t>
  </si>
  <si>
    <t>Emissione nel suolo</t>
  </si>
  <si>
    <t>Išmetimas į dirvožemį</t>
  </si>
  <si>
    <t>Emisja do gleby</t>
  </si>
  <si>
    <t>Emissão para o solo</t>
  </si>
  <si>
    <t>Emisije v tla</t>
  </si>
  <si>
    <t>Vertidos al suelo</t>
  </si>
  <si>
    <t>template_label_b5_sites_in_biodiversity_sensitive_areas</t>
  </si>
  <si>
    <t>B5 - Sites in biodiversity sensitive areas</t>
  </si>
  <si>
    <t xml:space="preserve">B5 - Steder i eller i nærheden af 'biodiversitetsfølsomme områder’, som virksomheden a) ejer, b) lejer eller c) forvalter </t>
  </si>
  <si>
    <t>B5 — Vestigingen in biodiversiteitsgevoelige gebieden</t>
  </si>
  <si>
    <t>B5 – Sites situés dans des zones sensibles sur le plan de la biodiversité</t>
  </si>
  <si>
    <t xml:space="preserve">B5 – Gebiete mit schutzbedürftiger Biodiversität </t>
  </si>
  <si>
    <t>B5 - Láithreáin atá suite i limistéir atá íogair ó thaobh na bithéagsúlachta de</t>
  </si>
  <si>
    <t>B5 – Siti all'interno di aree sensibili sotto il profilo della biodiversità</t>
  </si>
  <si>
    <t>B5 - Veiklos objektai biologinei įvairovei jautriose teritorijose</t>
  </si>
  <si>
    <t>B5 – Lokalizacje położone na obszarach wrażliwych pod względem bioróżnorodności</t>
  </si>
  <si>
    <t>B5 – Locais em áreas sensíveis à biodiversidade</t>
  </si>
  <si>
    <t>B5 - Lokacije na območjih, občutljivih za biotsko raznovrstnost</t>
  </si>
  <si>
    <t>B5 – Emplazamientos en zonas sensibles en cuanto a la biodiversidad</t>
  </si>
  <si>
    <t>template_label_does_the_undertaking_have_sites_that_are_located_in_or_near_biodiversity_sensitive_areas</t>
  </si>
  <si>
    <t>Does the undertaking have sites that are located in or near biodiversity sensitive areas?</t>
  </si>
  <si>
    <t>Har virksomheden lokaliteter, der er beliggende i eller nær biodiversitetsfølsomme områder?</t>
  </si>
  <si>
    <t>Heeft de onderneming vestigingen die zich bevinden in of nabij biodiversiteitsgevoelige gebieden?</t>
  </si>
  <si>
    <t>L'entreprise dispose-t-elle de sites situés dans ou à proximité de zones sensibles sur le plan de la biodiversité ?</t>
  </si>
  <si>
    <t>Hat das Unternehmen Standorte, die sich in oder in der Nähe von Gebieten mit schutzbedürftiger Biodiversität befinden?</t>
  </si>
  <si>
    <t>An bhfuil láithreáin ag an ngnóthas atá lonnaithe i limistéir atá íogair ó thaobh na bithéagsúlachta de nó in aice leo?</t>
  </si>
  <si>
    <t>L'impresa ha siti ubicati all'interno o in prossimità di un'area sensibile sotto il profilo della biodiversità?</t>
  </si>
  <si>
    <t>Ar įmonė turi veiklos objektų, kurie yra biloginei įvairovei jautriose teritorijose arba netoli jų?</t>
  </si>
  <si>
    <t>Czy jednostka posiada lokalizacje znajdujące się na obszarach wrażliwych pod względem bioróżnorodności lub w ich pobliżu?</t>
  </si>
  <si>
    <t>A empresa tem locais de atividade que estão localizados em ou próximos de zonas sensíveis do ponto de vista da biodiversidade?</t>
  </si>
  <si>
    <t>Ali ima podjetje lokacije, ki se nahajajo na območjih, občutljivih za biotsko raznovrstnost, ali v njihovi bližini?</t>
  </si>
  <si>
    <t xml:space="preserve">¿La empresa tiene emplazamientos situados en o cerca de zonas sensibles en cuanto a la biodiversidad? 
</t>
  </si>
  <si>
    <t>template_label_please_select_the_unit_used_for_the_area</t>
  </si>
  <si>
    <t>Please select the unit used for the area (i.e. either hectares or m²):</t>
  </si>
  <si>
    <t>Vælg venligst den enhed, der anvendes til arealet (dvs. enten hektar eller m²):</t>
  </si>
  <si>
    <t>Selecteer de eenheid die wordt gebruikt voor het gebied (d.w.z. hectare of m²):</t>
  </si>
  <si>
    <t>Veuillez sélectionner l’unité utilisée pour la superficie (c.-à-d. soit en hectares, soit en m²) :</t>
  </si>
  <si>
    <t>Bitte wählen Sie die Einheit aus, die für die Flächenangabe verwendet wird (d.h. entweder Hektar oder m²):</t>
  </si>
  <si>
    <t>Roghnaigh an t-aonad a úsáidtear don limistéar le do thoil (i.e. heicteár nó m²):</t>
  </si>
  <si>
    <t>Si prega di selezionare l'unità di misura utilizzata per la superficie (ossia, ettari o m²):</t>
  </si>
  <si>
    <t>Pasirinkite ploto matavimo vienetą (t. y. ha arba m²):</t>
  </si>
  <si>
    <t>Proszę wybrać jednostkę używaną do sprawozdania powierzchni (tj. hektary lub m²):</t>
  </si>
  <si>
    <t>Por favor, selecione a unidade usada para a área (ou seja, hectares ou m²):</t>
  </si>
  <si>
    <t>Izberite enoto, ki se uporablja za površino (npr. hektarji ali m²):</t>
  </si>
  <si>
    <t>Por favor, seleccione la unidad que se utiliza para el área (es decir, hectáreas o m²):</t>
  </si>
  <si>
    <t>template_label_related_site_id</t>
  </si>
  <si>
    <t>Related Site ID (select an ID from a site location reported in B1)</t>
  </si>
  <si>
    <t>Relateret lokalitets-ID (vælg et ID fra en lokalitet rapporteret i B1)</t>
  </si>
  <si>
    <t>Gerelateerde locatie-ID (selecteer een ID uit een locatie van een vestiging die gerapporteerd is in B1)</t>
  </si>
  <si>
    <t>ID du site associé (sélectionnez un ID parmi les sites déclarés dans B1)</t>
  </si>
  <si>
    <t>Zugehörige Standort-Nr. (wählen Sie eine Nr. aus einem in B1 angegebenen Standort aus)</t>
  </si>
  <si>
    <t>Aitheantas Láithreáin Gaolmhar (roghnaigh aitheantóir ó shuíomh a thuairiscítear i B1)</t>
  </si>
  <si>
    <t>ID del sito correlato (selezionare un ID da un'ubicazione del sito riportata in B1)</t>
  </si>
  <si>
    <t>Susijusios vietos (objekto) ID (pasirinkite ID iš B1 nurodytų vietų)</t>
  </si>
  <si>
    <t>Identyfikator powiązanej lokalizacji (wybierz identyfikator z lokalizacji zgłoszonej w B1)</t>
  </si>
  <si>
    <t>ID do Local Relacionado (selecione um ID de uma localização do local reportado em B1)</t>
  </si>
  <si>
    <t>ID povezanega spletnega mesta (izberite ID z lokacije spletnega mesta, zabeležene v B1)</t>
  </si>
  <si>
    <t>ID del sitio relacionado (seleccione un ID de una ubicación del sitio reportada en B1)</t>
  </si>
  <si>
    <t>template_label_site_location_in_near_a_biodiversity_area</t>
  </si>
  <si>
    <t>Site Location in near a biodiversity area - auto filled from B1</t>
  </si>
  <si>
    <t>Lokalitet i/nær et biodiversitetsområde – automatisk udfyldt fra B1</t>
  </si>
  <si>
    <t>Locatie van de vestiging nabij een biodiversiteitsgevoelig gebied – automatisch ingevuld vanuit B1</t>
  </si>
  <si>
    <t>Localisation du site à proximité d'une zone de biodiversité - rempli automatiquement à partir de B1</t>
  </si>
  <si>
    <t>Standort in der Nähe eines Gebiets mit schutzbedürftiger Biodiversität – automatisch ausgefüllt aus B1</t>
  </si>
  <si>
    <t>Suíomh an Láithreáin i ngar do limistéar bithéagsúlachta - líonta go huathoibríoch ó B1</t>
  </si>
  <si>
    <t>Ubicazione del sito all'interno o in prossimità di un'area sensibile sotto il profilo della biodiversità - compilato automaticamente da B1</t>
  </si>
  <si>
    <t>Objekto buvimas biologinės įvairovės teritorijoje ar šalia jos – automatiškai perkelta iš B1</t>
  </si>
  <si>
    <t>Lokalizacja w pobliżu obszarów wrażliwych pod względem bioróżnorodności – automatycznie wypełniona z B1</t>
  </si>
  <si>
    <t>Localização do sítio perto de uma área de biodiversidade - preenchido automaticamente a partir do B1</t>
  </si>
  <si>
    <t>Lokacija lokacije v bližini območja z visoko biotsko raznovrstnostjo – samodejno izpolnjeno od B1</t>
  </si>
  <si>
    <t xml:space="preserve">Ubicación del sitio cerca de un área de biodiversidad - completado automáticamente desde B1
</t>
  </si>
  <si>
    <t>template_label_area_hectares_or_m2</t>
  </si>
  <si>
    <t>Area (hectares or m² based on the selection above)</t>
  </si>
  <si>
    <t>Areal (hektar eller m² baseret på valget ovenfor)</t>
  </si>
  <si>
    <t>Oppervlakte (hectaren of m² op basis van de hierboven gemaakte selectie)</t>
  </si>
  <si>
    <t>Superficie (en hectares ou en m² selon la sélection ci-dessus)</t>
  </si>
  <si>
    <t>Fläche (Hektar oder m², basierend auf der obigen Auswahl)</t>
  </si>
  <si>
    <t>Achar (heicteáir nó m² bunaithe ar an rogha thuas)</t>
  </si>
  <si>
    <t>Superficie (ettari o m² in base alla selezione sopra)</t>
  </si>
  <si>
    <t>Plotas (ha arba m², pagal aukščiau pasirinktą vienetą)</t>
  </si>
  <si>
    <t>Obszar (w hektarach lub m² na podstawie powyższego wyboru)</t>
  </si>
  <si>
    <t>Área (hectares ou m² com base na seleção acima)</t>
  </si>
  <si>
    <t>Površina (hektarji ali m² glede na zgornjo izbiro)</t>
  </si>
  <si>
    <t>Área (hectáreas o m² según la selección anterior)</t>
  </si>
  <si>
    <t>template_label_site_located_in_a_biodiversity_sensitive_area</t>
  </si>
  <si>
    <t>Site located in a biodiversity sensitive area</t>
  </si>
  <si>
    <t>Lokalitet beliggende i et biodiversitetsfølsomt område</t>
  </si>
  <si>
    <t>Vestiging gelegen in een biodiversiteitsgevoelig gebied</t>
  </si>
  <si>
    <t>Site situé dans une zone sensible sur le plan de la biodiversité</t>
  </si>
  <si>
    <t>Standort in einem Gebiet mit schutzbedürftiger Biodiversität</t>
  </si>
  <si>
    <t>Suíomh suite i gceantar atá íogair ó thaobh na bithéagsúlachta de</t>
  </si>
  <si>
    <t>Sito ubicato all'interno di un'area sensibile sotto il profilo della biodiversità</t>
  </si>
  <si>
    <t>Objektas yra biologinei įvairovei jautrioje teritorijoje</t>
  </si>
  <si>
    <t>Lokalizacja znajdująca się na obszarach wrażliwych pod względem bioróżnorodności</t>
  </si>
  <si>
    <t>Sítio localizado numa zona sensível à biodiversidade</t>
  </si>
  <si>
    <t>Lokacija na območju, občutljivem za biotsko raznovrstnost</t>
  </si>
  <si>
    <t>Emplazamiento situado en una zona sensible en cuanto a la biodiversidad</t>
  </si>
  <si>
    <t>template_label_site_located_near_a_biodiversity_sensitive_area</t>
  </si>
  <si>
    <t>Site located near a biodiversity sensitive area</t>
  </si>
  <si>
    <t>Lokalitet beliggende nær et biodiversitetsfølsomt område</t>
  </si>
  <si>
    <t>Vestiging gelegen nabij een biodiversiteitsgevoelig gebied</t>
  </si>
  <si>
    <t>Site situé à proximité d'une zone sensible sur le plan de la biodiversité</t>
  </si>
  <si>
    <t>Standort in der Nähe eines Gebiets mit schutzbedürftiger Biodiversität</t>
  </si>
  <si>
    <t>Suíomh suite in aice le limistéar atá íogair ó thaobh na bithéagsúlachta de</t>
  </si>
  <si>
    <t>Sito ubicato in prossimità di un'area sensibile sotto il profilo della biodiversità</t>
  </si>
  <si>
    <t>Objektas yra šalia biologinei įvairovei jautrios teritorijos</t>
  </si>
  <si>
    <t>Lokalizacja znajdująca się w pobliżu obszarów wrażliwych pod względem bioróżnorodności</t>
  </si>
  <si>
    <t>Sítio localizado perto de uma zona sensível à biodiversidade</t>
  </si>
  <si>
    <t>Lokacija v bližini območja, občutljivega za biotsko raznovrstnost</t>
  </si>
  <si>
    <t>Emplazamiento situado cerca de una zona sensible en cuanto a la biodiversidad</t>
  </si>
  <si>
    <t>template_label_b5_biodiversity_land_use</t>
  </si>
  <si>
    <t>B5 - Biodiversity - Land-use</t>
  </si>
  <si>
    <t xml:space="preserve">B5 - Biodiversitet - Arealforbrug </t>
  </si>
  <si>
    <t>B5 – Biodiversiteit – Landgebruik</t>
  </si>
  <si>
    <t>B5 - Biodiversité - Utilisation des terres</t>
  </si>
  <si>
    <t>B5 – Biodiversität – Flächennutzung</t>
  </si>
  <si>
    <t>B5 - Bithéagsúlacht - Úsáid talún</t>
  </si>
  <si>
    <t>B5 – Biodiversità – Uso del suolo</t>
  </si>
  <si>
    <t>B5 - Biologinė įvairovė - Žemės naudojimas</t>
  </si>
  <si>
    <t>B5 – Bioróżnorodność – Użytkowanie gruntów</t>
  </si>
  <si>
    <t>B5 – Biodiversidade – Utilização do solo</t>
  </si>
  <si>
    <t>B5 - Biotska raznovrstnost - Raba zemljišč</t>
  </si>
  <si>
    <t>B5 - Biodiversidad - Uso del suelo</t>
  </si>
  <si>
    <t>template_label_land_use_type</t>
  </si>
  <si>
    <t>Land-use type</t>
  </si>
  <si>
    <t xml:space="preserve">Type af arealforbrug </t>
  </si>
  <si>
    <t>Soort landgebruik</t>
  </si>
  <si>
    <t>Type d’affectation des terres</t>
  </si>
  <si>
    <t>Art der Flächennutzung</t>
  </si>
  <si>
    <t>Cineál úsáide talún</t>
  </si>
  <si>
    <t>Tipo di uso del suolo</t>
  </si>
  <si>
    <t>Žemės naudojimo tipas</t>
  </si>
  <si>
    <t xml:space="preserve"> </t>
  </si>
  <si>
    <t>Tipo de uso do solo</t>
  </si>
  <si>
    <t>Vrsta rabe zemljišča</t>
  </si>
  <si>
    <t>Tipo de uso de la tierra</t>
  </si>
  <si>
    <t>template_label_area</t>
  </si>
  <si>
    <t>Area</t>
  </si>
  <si>
    <t>Areal</t>
  </si>
  <si>
    <t>Gebied</t>
  </si>
  <si>
    <t>Zone</t>
  </si>
  <si>
    <t>Fläche</t>
  </si>
  <si>
    <t>Achar</t>
  </si>
  <si>
    <t>Superficie</t>
  </si>
  <si>
    <t>Plotas</t>
  </si>
  <si>
    <t>Powierzchnia</t>
  </si>
  <si>
    <t>Área</t>
  </si>
  <si>
    <t>Območje</t>
  </si>
  <si>
    <t>template_label_total_sealed_area</t>
  </si>
  <si>
    <t>Total sealed area</t>
  </si>
  <si>
    <t>Samlet befæstet areal</t>
  </si>
  <si>
    <t>Totale verharde oppervlakte</t>
  </si>
  <si>
    <t>Surface totale imperméabilisée</t>
  </si>
  <si>
    <t>Gesamte versiegelte Fläche</t>
  </si>
  <si>
    <t>An t-achar iomlán atá séalaithe</t>
  </si>
  <si>
    <t>Superficie totale impermeabilizzata</t>
  </si>
  <si>
    <t>Bendras nepralaidžios dangos plotas</t>
  </si>
  <si>
    <t>Całkowita powierzchnia nieprzepuszczalna</t>
  </si>
  <si>
    <t>Superfície total de área confinada</t>
  </si>
  <si>
    <t>Skupna zatesnjena površina</t>
  </si>
  <si>
    <t>Superficie sellada total</t>
  </si>
  <si>
    <t>template_label_total_nature_oriented_area_on_site</t>
  </si>
  <si>
    <t>Total nature-oriented area on-site</t>
  </si>
  <si>
    <t xml:space="preserve">Samlet naturorienteret areal på stedet </t>
  </si>
  <si>
    <t>Totale natuurgerichte oppervlakte op de bedrijfslocatie</t>
  </si>
  <si>
    <t>Surface totale respectueuse de la nature sur le site</t>
  </si>
  <si>
    <t>Gesamte naturnahe Fläche am Standort</t>
  </si>
  <si>
    <t>An t-achar iomlán atá dírithear ar an dúlra ar an láthair</t>
  </si>
  <si>
    <t>Superficie totale orientata alla natura nel sito</t>
  </si>
  <si>
    <t>Bendras gamtai palankių teritorijų plotas objekto teritorijoje</t>
  </si>
  <si>
    <t>Całkowity obszar ukierunkowany na naturę w danej lokalizacji</t>
  </si>
  <si>
    <t>Superfície total de zona orientada para a natureza no local de atividade</t>
  </si>
  <si>
    <t>Skupna površina naravovarstveno usmerjenih površin na lokaciji</t>
  </si>
  <si>
    <t>Superficie total en el emplazamiento orientada según la naturaleza</t>
  </si>
  <si>
    <t>template_label_total_nature_oriented_area_off_site</t>
  </si>
  <si>
    <t>Total nature-oriented area off-site</t>
  </si>
  <si>
    <t>Total naturorienteret areal uden for stedet</t>
  </si>
  <si>
    <t>Totale natuurgerichte oppervlakte buiten de locatie</t>
  </si>
  <si>
    <t>Surface totale respectueuse de la nature hors site</t>
  </si>
  <si>
    <t>Gesamte naturnahe Fläche abseits des Standorts</t>
  </si>
  <si>
    <t>An t-achar iomlán atá dírithe ar an dúlra lasmuigh den láthair</t>
  </si>
  <si>
    <t>Superficie totale orientata alla natura fuori dal sito</t>
  </si>
  <si>
    <t>Bendras gamtai palankių teritorijų plotas ne objekto teritorijoje</t>
  </si>
  <si>
    <t>Całkowity obszar ukierunkowany na naturę poza daną lokalizacją</t>
  </si>
  <si>
    <t>Superfície total de zona orientada para a natureza fora do local de atividade</t>
  </si>
  <si>
    <t>Skupna površina naravovarstveno usmerjenih površin izven lokacije</t>
  </si>
  <si>
    <t>Superficie total fuera del emplazamiento orientada según la naturaleza</t>
  </si>
  <si>
    <t>template_label_total_use_of_land</t>
  </si>
  <si>
    <t>Total use of land</t>
  </si>
  <si>
    <t>Samlet arealforbrug</t>
  </si>
  <si>
    <t>Totale landgebruik</t>
  </si>
  <si>
    <t>Utilisation totale des terres</t>
  </si>
  <si>
    <t>Gesamter Flächenverbrauch</t>
  </si>
  <si>
    <t>Úsáid iomlán na talún</t>
  </si>
  <si>
    <t>Uso totale del suolo</t>
  </si>
  <si>
    <t>Bendras žemės naudojimas</t>
  </si>
  <si>
    <t>Całkowite użytkowanie gruntów</t>
  </si>
  <si>
    <t>Uso total do solo</t>
  </si>
  <si>
    <t>Skupna raba zemljišč</t>
  </si>
  <si>
    <t>Uso total de la tierra</t>
  </si>
  <si>
    <t>template_label_b6_water_withdrawal</t>
  </si>
  <si>
    <t>B6 - Water Withdrawal</t>
  </si>
  <si>
    <t>B6 - Samlede Vandudtag</t>
  </si>
  <si>
    <t>B6 —  Wateronttrekking</t>
  </si>
  <si>
    <t>B6 – Prélèvements d'eau</t>
  </si>
  <si>
    <t>B6 – Wasserentnahme</t>
  </si>
  <si>
    <t>B6 - Aistarraingt Uisce</t>
  </si>
  <si>
    <t>B6 - Prelievo Idrico</t>
  </si>
  <si>
    <t>B6 – Vandens išgavimas</t>
  </si>
  <si>
    <t>B6 – Pobór wody</t>
  </si>
  <si>
    <t>B6 — Captação de água</t>
  </si>
  <si>
    <t>B6 - Odvzem vode</t>
  </si>
  <si>
    <t>B6 - Extracción de agua</t>
  </si>
  <si>
    <t>template_label_total_amount_of_water_withdrawn_from_all_sites</t>
  </si>
  <si>
    <t>Total amount of water withdrawn from all sites (cubic meters m³)</t>
  </si>
  <si>
    <t xml:space="preserve">Samlet mændge vand udtaget fra alle lokationer (kubikmeter m³) </t>
  </si>
  <si>
    <t>Totale hoeveelheid water onttrokken van alle vestigingen (kubieke meters m³)</t>
  </si>
  <si>
    <t>Quantité totale d'eau prélevée sur tous les sites (mètres cubes m³)</t>
  </si>
  <si>
    <t>Gesamtmenge des aus allen Standorten entnommenen Wassers (Kubikmeter m³)</t>
  </si>
  <si>
    <t>An méid iomlán uisce a tarraingíodh isteach ó gach láithreán (méadar ciúbach m³)</t>
  </si>
  <si>
    <t>Quantità totale di acqua prelevata da tutti i siti (metri cubi m³)</t>
  </si>
  <si>
    <t>Bendras vandens kiekis, paimtas iš visų vietovių (kubiniais metrais m³)</t>
  </si>
  <si>
    <t>Całkowita ilość pobranej wody ze wszystkich lokalizacji (m³)</t>
  </si>
  <si>
    <t>Montante total de água retirada de todos os locais (metros cúbicos m³)</t>
  </si>
  <si>
    <t>Skupna količina odvzete vode z vseh lokacij (kubični metri m³)</t>
  </si>
  <si>
    <t>Cantidad total de agua extraída de todos los emplazamientos (metros cúbicos m³)</t>
  </si>
  <si>
    <t>template_label_amount_of_water_withdrawn_at_sites_located_in_areas_of_high_water_stress</t>
  </si>
  <si>
    <t>Amount of water withdrawn at sites located in areas of high water-stress (cubic meters m³)</t>
  </si>
  <si>
    <t>Samlet mængde vand udtaget fra steder beliggende i områder med høj vandstress (kubikmeter m³)</t>
  </si>
  <si>
    <t>Hoeveelheid water onttrokken op locaties in gebieden met grote waterstress (kubieke meters m³)</t>
  </si>
  <si>
    <t>Quantité d’eau prélevée sur les sites qui se situent dans des zones exposées à un stress hydrique élevé (mètres cubes m³)</t>
  </si>
  <si>
    <t>Menge des an Standorten in Gebieten mit hohem Wasserstress entnommenen Wassers (Kubikmeter m³)</t>
  </si>
  <si>
    <t>An méid iomlán uisce a tarraingíodh isteach ó gach láithreán atá suite i limistéar atá faoi ardstrus maidir le huisce (méadar ciúbach m³)</t>
  </si>
  <si>
    <t>Quantità di acqua prelevata presso siti ubicati in aree ad elevato stress idrico (metri cubi m³)</t>
  </si>
  <si>
    <t>Imamo vandens kiekis vietose, esančiose didelio vandens stygiaus zonose (kubiniais metrais m³)</t>
  </si>
  <si>
    <t>Ilość wody pobranej w lokalizacjach położonych na obszarach o wysokim deficycie wody (metry sześcienne m³)</t>
  </si>
  <si>
    <t>Quantidade de água captada em locais situados em áreas de elevado stress hídrico (metros cúbicos m³)</t>
  </si>
  <si>
    <t>Količina odvzete vode na lokacijah, ki se nahajajo na območjih z veliko vodno obremenitvijo (kubični metri m³)</t>
  </si>
  <si>
    <t>Cantidad de agua extraída en emplazamientos situados en zonas con un alto estrés hídrico (metros cúbicos m³)</t>
  </si>
  <si>
    <t>template_label_b6_water_consumption</t>
  </si>
  <si>
    <t>B6 - Water Consumption</t>
  </si>
  <si>
    <t>B6 - Vandforbrug</t>
  </si>
  <si>
    <t>B6 — Waterverbruik</t>
  </si>
  <si>
    <t>B6 - Consommation d'eau</t>
  </si>
  <si>
    <t>B6 – Wasserverbrauch</t>
  </si>
  <si>
    <t>B6 - Tomhaltas Uisce</t>
  </si>
  <si>
    <t>B6 – Acque</t>
  </si>
  <si>
    <t>B6 – Vandens suvartojimas</t>
  </si>
  <si>
    <t>B6 - Zużycie wody</t>
  </si>
  <si>
    <t>B6 - Consumo de água</t>
  </si>
  <si>
    <t>B6 - Poraba vode</t>
  </si>
  <si>
    <t xml:space="preserve">B6 - Consumo de agua
</t>
  </si>
  <si>
    <t>template_label_does_the_undertaking_have_production_processes_in_place_which_significantly_consume_water</t>
  </si>
  <si>
    <t>Does the undertaking have production processes in place which significantly consume water (e.g. thermal energy processes like drying or power production production of goods agricultural irrigation etc.)?</t>
  </si>
  <si>
    <t>Har virksomheden produktionsprocesser, der i væsentlig grad forbruger vand (f.eks. termiske energiprocesser såsom tørring eller elproduktion, produktion af varer, kunstvanding i landbruget osv.)?</t>
  </si>
  <si>
    <t xml:space="preserve">Heeft de onderneming productieprocessen die aanzienlijk water verbruiken (bijv. thermische energieprocessen zoals drogen of energieopwekking, productie van goederen, landbouwirrigatie, enz.)? 
</t>
  </si>
  <si>
    <t>L'entreprise a-t-elle mis en place des processus de production qui consomment beaucoup d’eau (par ex. des procédés d’énergie thermique tels que le séchage ou la production d’électricité, la production de biens, l’irrigation agricole, etc.) ?</t>
  </si>
  <si>
    <t>Wendet das Unternehmen Produktionsverfahren mit einem erheblichen Wasserverbrauch an (z. B. thermische Energieprozesse wie Trocknung oder Stromerzeugung, Herstellung von Waren, landwirtschaftliche Bewässerung usw.)?</t>
  </si>
  <si>
    <t>An bhfuil próisis táirgthe i bhfeidhm ag an ngnóthas a ídíonn uisce go suntasach (m.sh., próisis fuinnimh theirmigh, amhail táirgeadh triomú nó cumhachta, táirgeadh earraí, uisciú talmhaíochta, srl.)?</t>
  </si>
  <si>
    <t>L'impresa svolge processi di produzione che consumano quantità significative di acqua (ad esempio processi che richiedono energia termica quali l'essiccazione o la produzione di energia elettrica, produzione di merci, irrigazione agricola, ecc.)?</t>
  </si>
  <si>
    <t>Ar įmonė turi gamybos procesus, kurie reikšmingai sunaudoja vandenį (pvz., terminės energijos procesai, tokie kaip džiovinimas ar elektros energijos gamyba, prekių gamyba, žemės ūkio laistymas ir pan.)?</t>
  </si>
  <si>
    <t>Czy jednostka prowadzi procesy produkcyjne, które wiążą się ze znacznym zużyciem wody (np. procesy wykorzystujące energię cieplną, takie jak suszenie lub produkcja energii elektrycznej, produkcja towarów, nawadnianie w rolnictwie itp.)?</t>
  </si>
  <si>
    <t>A empresa dispõe de processos de produção com consumos significativos de água (por exemplo, processos de energia térmica como secagem ou produção de energia, produção de bens, irrigação agrícola, etc.)?</t>
  </si>
  <si>
    <t>Ali ima podjetje proizvodne postopke, ki znatno porabljajo vodo (npr. postopki toplotne energije, kot je sušenje ali proizvodnja električne energije, proizvodnja blaga, namakanje v kmetijstvu itd.)?</t>
  </si>
  <si>
    <t xml:space="preserve">¿La empresa cuenta con procesos de producción que consumen una cantidad significativa de agua (por ejemplo, procesos de energía térmica como el secado o la producción de energía, producción de bienes, riego agrícola, etc.)? 
</t>
  </si>
  <si>
    <t>template_label_water_discharge_from_undertaking_production_processes</t>
  </si>
  <si>
    <t>Water discharge from undertaking production processes (m³)</t>
  </si>
  <si>
    <t>Vandudledning fra virksomhedens produktionsprocesser (m³)</t>
  </si>
  <si>
    <t>Waterlozing vanuit productieprocessen van de onderneming (m³)</t>
  </si>
  <si>
    <t>Rejet d’eau provenant des processus de production de l’entreprise (m³)</t>
  </si>
  <si>
    <t>Wasserableitung aus den Produktionsprozessen des Unternehmens (Kubikmeter m³)</t>
  </si>
  <si>
    <t>Scaoileadh uisce ó phróisis táirgthe (m³)</t>
  </si>
  <si>
    <t>Scarico di acque risultante dai processi di produzione dell'impresa (m³)</t>
  </si>
  <si>
    <t>Vandens išleidimas iš įmonės gamybos procesų (m³)</t>
  </si>
  <si>
    <t>Zrzut wody z procesów produkcyjnych jednostki (m³)</t>
  </si>
  <si>
    <t>Descarga de água dos processos de produção da entidade (m³)</t>
  </si>
  <si>
    <t>Izpust vode iz proizvodnih postopkov podjetja (m³)</t>
  </si>
  <si>
    <t>Vertido de agua procedente de los procesos de producción de la empresa (m³)</t>
  </si>
  <si>
    <t>template_label_total_water_consumption</t>
  </si>
  <si>
    <t>Total water consumption (m³)</t>
  </si>
  <si>
    <t>Samlet vandforbrug (m³)</t>
  </si>
  <si>
    <t>Totale waterverbruik (m³)</t>
  </si>
  <si>
    <t>Consommation totale d’eau (m³)</t>
  </si>
  <si>
    <t>Gesamtwasserverbrauch (Kubikmeter m³)</t>
  </si>
  <si>
    <t>Tomhaltas iomlán uisce (m³)</t>
  </si>
  <si>
    <t>Consumo idrico totale (m³)</t>
  </si>
  <si>
    <t>Bendras vandens suvartojimas (m³)</t>
  </si>
  <si>
    <t>Całkowite zużycie wody (m³)</t>
  </si>
  <si>
    <t>Consumo total de água (m³)</t>
  </si>
  <si>
    <t>Skupna poraba vode (m³)</t>
  </si>
  <si>
    <t>Consumo total de agua (m³)</t>
  </si>
  <si>
    <t>template_label_b7_description_of_circular_economy_principles</t>
  </si>
  <si>
    <t>B7 - Description of circular economy principles</t>
  </si>
  <si>
    <t>B7 - Beskrivelse af principperne for cirkulær økonomi</t>
  </si>
  <si>
    <t>B7 - Beschrijving van de beginselen van de circulaire economie</t>
  </si>
  <si>
    <t>B7 – Description des principes de l’économie circulaire</t>
  </si>
  <si>
    <t>B7 – Beschreibung der Grundsätze der Kreislaufwirtschaft</t>
  </si>
  <si>
    <t>B7 - Cur síos ar phrionsabail an gheilleagair chiorclaigh</t>
  </si>
  <si>
    <t>B7 – Descrizione dei principi dell'economia circolare</t>
  </si>
  <si>
    <t>B7 - Žiedinės ekonomikos principų aprašymas</t>
  </si>
  <si>
    <t>B7 – Opis zasad gospodarki o obiegu zamkniętym</t>
  </si>
  <si>
    <t>B7 - Descrição dos princípios da economia circular</t>
  </si>
  <si>
    <t>B7 - Opis načel krožnega gospodarstva</t>
  </si>
  <si>
    <t>B7 – Descripción de los principios de la economía circular</t>
  </si>
  <si>
    <t>template_label_undertaking_applies_circular_economy_principles</t>
  </si>
  <si>
    <t>Undertaking applies circular economy principles</t>
  </si>
  <si>
    <t>Virksomheden anvender principperne for cirkulær økonomi</t>
  </si>
  <si>
    <t>De onderneming vermeldt of zij de beginselen van de circulaire economie toepast.</t>
  </si>
  <si>
    <t>L’entreprise applique les principes de l’économie circulaire</t>
  </si>
  <si>
    <t xml:space="preserve">Das Unternehmen wendet Grundsätze der Kreislaufwirtschaft an. </t>
  </si>
  <si>
    <t>Cuireann an gnóthas prionsabail an gheilleagair chiorclaigh i bhfeidhm</t>
  </si>
  <si>
    <t>L'impresa applica i principi dell'economia circolare</t>
  </si>
  <si>
    <t>Įmonė taiko žiedinės ekonomikos principus</t>
  </si>
  <si>
    <t>Jednostka stosuje zasady gospodarki o obiegu zamkniętym</t>
  </si>
  <si>
    <t>A empresa aplica os princípios da economia circular</t>
  </si>
  <si>
    <t>Podjetje uporablja načela krožnega gospodarstva</t>
  </si>
  <si>
    <t>La empresa divulgará si aplica los principios de la economía circular y, en caso afirmativo, cómo los aplica.</t>
  </si>
  <si>
    <t>template_label_description_of_how_it_applies_these_principles</t>
  </si>
  <si>
    <t>Description of how it applies these principles</t>
  </si>
  <si>
    <t>Beskrivelse af, hvordan virksomhedenanvender disse principper</t>
  </si>
  <si>
    <t>"Beschrijving van hoe zij deze principes toepast"</t>
  </si>
  <si>
    <t>Description de la manière dont elle applique ces principes</t>
  </si>
  <si>
    <t>Beschreibung, wie diese Grundsätze angewendet werden</t>
  </si>
  <si>
    <t>Cur síos ar an gcaoi a gcuireann sé na prionsabail sin i bhfeidhm</t>
  </si>
  <si>
    <t>Descrizione delle modalità con cui applica questi principi</t>
  </si>
  <si>
    <t xml:space="preserve">Aprašymas, kaip taikomi šie principai
</t>
  </si>
  <si>
    <t>Opis sposobu stosowania tych zasad</t>
  </si>
  <si>
    <t>Descrição de como a empresa aplica estes princípios</t>
  </si>
  <si>
    <t>Opis, kako uporablja ta načela</t>
  </si>
  <si>
    <t>Descripción de cómo se aplican estos principios</t>
  </si>
  <si>
    <t>template_label_b7_waste_generated</t>
  </si>
  <si>
    <t>B7 - Waste generated</t>
  </si>
  <si>
    <t>B7 - Ressourceforbrug, cirkulær økonomi og affaldshåndtering</t>
  </si>
  <si>
    <t>B7 - Afval gegenereerd</t>
  </si>
  <si>
    <t>B7 - Déchets produits</t>
  </si>
  <si>
    <t>B7 – Abfallaufkommen</t>
  </si>
  <si>
    <t>B7 - Dramhaíl a ghintear</t>
  </si>
  <si>
    <t>B7 - Rifiuti generati</t>
  </si>
  <si>
    <t>B7 - Išmetamųjų atliekų kiekis</t>
  </si>
  <si>
    <t>B7 - Wytworzone odpady</t>
  </si>
  <si>
    <t>B7 - Resíduos gerados</t>
  </si>
  <si>
    <t>B7 - Nastali odpadki</t>
  </si>
  <si>
    <t>B7 – Uso de los residuos generados</t>
  </si>
  <si>
    <t>template_label_type_of_waste</t>
  </si>
  <si>
    <t>Type of waste</t>
  </si>
  <si>
    <t xml:space="preserve">Type af affald </t>
  </si>
  <si>
    <t>Afvaltype</t>
  </si>
  <si>
    <t>Type de déchets</t>
  </si>
  <si>
    <t>Abfallart</t>
  </si>
  <si>
    <t>Cineál dramhaíola</t>
  </si>
  <si>
    <t>Tipo di rifiuto</t>
  </si>
  <si>
    <t>Atliekų rūšis</t>
  </si>
  <si>
    <t>Typ odpadów</t>
  </si>
  <si>
    <t>Tipo de resíduos</t>
  </si>
  <si>
    <t>Vrsta odpadkov</t>
  </si>
  <si>
    <t>Tipo de residuos</t>
  </si>
  <si>
    <t>template_label_unit_of_measurement</t>
  </si>
  <si>
    <t>Måleenhed</t>
  </si>
  <si>
    <t>Meet eenheid</t>
  </si>
  <si>
    <t>Unité de mesure</t>
  </si>
  <si>
    <t>Maßeinheit</t>
  </si>
  <si>
    <t>Aonad tomhais</t>
  </si>
  <si>
    <t>Unità di misura</t>
  </si>
  <si>
    <t>Matavimo vienetas</t>
  </si>
  <si>
    <t>Jednostka miary</t>
  </si>
  <si>
    <t>Unidade de medida</t>
  </si>
  <si>
    <t>Merska enota</t>
  </si>
  <si>
    <t>Unidad de medida</t>
  </si>
  <si>
    <t>template_label_waste_diverted_to_recycle_or_reuse</t>
  </si>
  <si>
    <t>Waste diverted to recycle or reuse</t>
  </si>
  <si>
    <t>Affald omdirigeret til genanvendelse eller genbrug</t>
  </si>
  <si>
    <t>Afval herbestemd voor recycling of hergebruik</t>
  </si>
  <si>
    <t>Déchets destinés à être recyclés ou réutilisés</t>
  </si>
  <si>
    <t>Abfälle, die zum Recycling oder zur Wiederverwendung umgeleitet werden</t>
  </si>
  <si>
    <t>Dramhaíl a atreoraítear le hathchúrsáil nó le hathúsáid</t>
  </si>
  <si>
    <t>Rifiuti reindirizzati al riciclaggio o al riutilizzo</t>
  </si>
  <si>
    <t>Atliekos, nukreiptos perdirbti arba pakartotinai naudoti</t>
  </si>
  <si>
    <t>Odpady kierowane do recyklingu lub ponownego użycia</t>
  </si>
  <si>
    <t>Resíduos desviados para reciclagem ou reutilização</t>
  </si>
  <si>
    <t>Odpadki, preusmerjeni v recikliranje ali ponovno uporabo</t>
  </si>
  <si>
    <t>Residuos desviados para reciclar o reutilizar</t>
  </si>
  <si>
    <t>template_label_waste_directed_to_disposal</t>
  </si>
  <si>
    <t>Waste directed to disposal</t>
  </si>
  <si>
    <t xml:space="preserve">Affald sendt til bortskaffelse </t>
  </si>
  <si>
    <t>Restafval (niet recyclebaar/herbruikbaar)</t>
  </si>
  <si>
    <t>Déchets destinés à être éliminés</t>
  </si>
  <si>
    <t>Abfälle, die der Beseitigung zugeführt werden</t>
  </si>
  <si>
    <t>Dramhaíl atá dírithe chun diúscairt</t>
  </si>
  <si>
    <t>Rifiuti destinati allo smaltimento</t>
  </si>
  <si>
    <t>Atliekos, perduotos utilizavimui</t>
  </si>
  <si>
    <t>Odpady kierowane do unieszkodliwiania</t>
  </si>
  <si>
    <t>Resíduos destinados a eliminação</t>
  </si>
  <si>
    <t>Odpadki, namenjeni odstranjevanju</t>
  </si>
  <si>
    <t>Residuos dirigidos a eliminación</t>
  </si>
  <si>
    <t>template_label_total_waste_recycled_reused_and_directed_to_disposal</t>
  </si>
  <si>
    <t>Amount of waste recycled reused and directed to disposal</t>
  </si>
  <si>
    <t>Samlet mængde affald  genbrugt, genanvendt og sendt til bortskaffelse</t>
  </si>
  <si>
    <t>Hoeveelheid afval gerecycled, hergebruikt en afgevoerd</t>
  </si>
  <si>
    <t>Quantité de déchets recyclés, réutilisés et destinés à être éliminés</t>
  </si>
  <si>
    <t>Abfallmenge, das recycelt, wiederverwendet und der Beseitigung zugeführt wird</t>
  </si>
  <si>
    <t>Méid na dramhaíola a athchúrsáil, a athúsáideadh agus a threoraítear chun diúscairt</t>
  </si>
  <si>
    <t>Quantità di rifiuti riciclati, riutilizzati e destinati allo smaltimento</t>
  </si>
  <si>
    <t>Perdirbtų, pakartotinai panaudotų ir šalinimui nukreiptų atliekų kiekis</t>
  </si>
  <si>
    <t>Ilość odpadów kierowanych do recyklingu, ponownego użycia lub unieszkodliwienia</t>
  </si>
  <si>
    <t>Quantidade de resíduos reciclados, reutilizados e encaminhados para eliminação</t>
  </si>
  <si>
    <t>Količina recikliranih odpadkov, ponovno uporabljenih in namenjenih za odstranjevanje</t>
  </si>
  <si>
    <t>Cantidad de residuos desviados para su reciclaje, reutilización y destinados a la eliminación</t>
  </si>
  <si>
    <t>template_label_total_hazardous_waste_generated_mass</t>
  </si>
  <si>
    <t>Total Hazardous waste generated (mass)</t>
  </si>
  <si>
    <t>Samlet produktion af farligt affald (masse)</t>
  </si>
  <si>
    <t>Totaal gegenereerd gevaarlijk afval (massa)</t>
  </si>
  <si>
    <t>Total des déchets dangereux produits (en masse)</t>
  </si>
  <si>
    <t>Gesamtmenge gefährlicher Abfälle (Masse/Gewicht)</t>
  </si>
  <si>
    <t>Dramhaíl ghuaiseach iomlán a ghintear (mais)</t>
  </si>
  <si>
    <t>Totale rifiuti pericolosi generati (massa)</t>
  </si>
  <si>
    <t>Bendras susidariusių pavojingųjų atliekų kiekis (masė)</t>
  </si>
  <si>
    <t>Całkowita ilość wytworzonych odpadów niebezpiecznych (masa)</t>
  </si>
  <si>
    <t>Resíduos Perigosos totais gerados (massa)</t>
  </si>
  <si>
    <t>Skupna količina nastalih nevarnih odpadkov (masa)</t>
  </si>
  <si>
    <t>Residuo peligroso total generado (masa)</t>
  </si>
  <si>
    <t>template_label_total_amount_of_waste_generated</t>
  </si>
  <si>
    <t>Total amount of waste generated</t>
  </si>
  <si>
    <t xml:space="preserve">Samlet mængde affald genereret </t>
  </si>
  <si>
    <t>Totale hoeveelheid geproduceerd afval</t>
  </si>
  <si>
    <t>Quantité totale de déchets produits</t>
  </si>
  <si>
    <t>Gesamtabfallmenge oder Abfallmenge gesamt</t>
  </si>
  <si>
    <t>Méid iomlán na dramhaíola a ghintear</t>
  </si>
  <si>
    <t>Importo totale di rifiuti generati</t>
  </si>
  <si>
    <t>Bendras susidariusių atliekų kiekis</t>
  </si>
  <si>
    <t>Całkowita ilość wytwarzanych odpadów</t>
  </si>
  <si>
    <t>Quantidade total de resíduos gerados</t>
  </si>
  <si>
    <t>Skupna količina nastalih odpadkov</t>
  </si>
  <si>
    <t>Cantidad total de residuos generados</t>
  </si>
  <si>
    <t>template_label_total_non_hazardous_waste_generated_mass</t>
  </si>
  <si>
    <t>Total Non-Hazardous waste generated (mass)</t>
  </si>
  <si>
    <t>Samlet  produktion af ikke-farligt affald (masse)</t>
  </si>
  <si>
    <t>Totale hoeveelheid niet-gevaarlijk afval gegenereerd (massa)</t>
  </si>
  <si>
    <t>Total des déchets non dangereux produits (en masse)</t>
  </si>
  <si>
    <t>Gesamtaufkommen nicht gefährlicher Abfälle (Masse/Gewicht)</t>
  </si>
  <si>
    <t>Dramhaíl Neamhghuaiseach Iomlán a ghintear (mais)</t>
  </si>
  <si>
    <t>Totale rifiuti non pericolosi generati (massa)</t>
  </si>
  <si>
    <t>Bendras nepavojingų atliekų kiekis (masė)</t>
  </si>
  <si>
    <t>Całkowita ilość wytworzonych odpadów innych niż niebezpieczne (masa)</t>
  </si>
  <si>
    <t>Resíduos Não Perigosos Totais Gerados (massa)</t>
  </si>
  <si>
    <t>Skupna količina nastalih nenevarnih odpadkov (masa)</t>
  </si>
  <si>
    <t>Residuos no peligrosos generados totales (masa)</t>
  </si>
  <si>
    <t>template_label_total_waste_generated_mass</t>
  </si>
  <si>
    <t>Total waste generated (mass)</t>
  </si>
  <si>
    <t>Samlet produktion af affald (masse)</t>
  </si>
  <si>
    <t>Totale hoeveelheid geproduceerd afval (massa)</t>
  </si>
  <si>
    <t>Total des déchets produits (en masse)</t>
  </si>
  <si>
    <t>Gesamtabfallaufkommen (Masse/Gewicht)</t>
  </si>
  <si>
    <t>Dramhaíl iomlán a ghintear (mais)</t>
  </si>
  <si>
    <t>Totale rifiuti generati (massa)</t>
  </si>
  <si>
    <t>Bendras atliekų kiekis (masė)</t>
  </si>
  <si>
    <t>Całkowita ilość wytwarzanych odpadów (masa)</t>
  </si>
  <si>
    <t>Produção total de resíduos (massa)</t>
  </si>
  <si>
    <t>Skupna količina nastalih odpadkov (masa)</t>
  </si>
  <si>
    <t>Total de residuos generados (masa)</t>
  </si>
  <si>
    <t>template_label_total_hazardous_waste_generated_volume</t>
  </si>
  <si>
    <t>Total Hazardous waste generated (volume)</t>
  </si>
  <si>
    <t>Samlet produktion af farligt affald (volume)</t>
  </si>
  <si>
    <t>Totale hoeveelheid geproduceerd gevaarlijk afval (volume)</t>
  </si>
  <si>
    <t>Total des déchets dangereux produits (en volume)</t>
  </si>
  <si>
    <t>Gesamtaufkommen gefährlicher Abfälle (Volumen)</t>
  </si>
  <si>
    <t>Dramhaíl ghuaiseach iomlán a ghintear (toirt)</t>
  </si>
  <si>
    <t>Totale rifiuti pericolosi generati (volume)</t>
  </si>
  <si>
    <t>Bendras pavojingų atliekų susidarymo kiekis (tūris)</t>
  </si>
  <si>
    <t>Całkowita ilość wytworzonych odpadów niebezpiecznych (objętość)</t>
  </si>
  <si>
    <t>Resíduos perigosos totais gerados (volume)</t>
  </si>
  <si>
    <t>Skupna količina nastalih nevarnih odpadkov (prostornina)</t>
  </si>
  <si>
    <t>Residuos peligrosos generados totales (volumen)</t>
  </si>
  <si>
    <t>template_label_cubic_meters</t>
  </si>
  <si>
    <t>cubic meters (m³)</t>
  </si>
  <si>
    <t>kubikmeter (m³)</t>
  </si>
  <si>
    <t>kubieke meter (m³)</t>
  </si>
  <si>
    <t>mètres cubes (m³)</t>
  </si>
  <si>
    <t>Kubikmeter (m³)</t>
  </si>
  <si>
    <t>méadar ciúbach (m³)</t>
  </si>
  <si>
    <t>metri cubi (m³)</t>
  </si>
  <si>
    <t>kubiniai metrai (m³)</t>
  </si>
  <si>
    <t>metr sześcienny (m³)</t>
  </si>
  <si>
    <t>metros cúbicos (m³)</t>
  </si>
  <si>
    <t>kubičnih metrov (m³)</t>
  </si>
  <si>
    <t>template_label_total_non_hazardous_waste_generated_volume</t>
  </si>
  <si>
    <t>Total Non-Hazardous waste generated (volume)</t>
  </si>
  <si>
    <t>Samlet produktion af ikke-farligt affald (volume)</t>
  </si>
  <si>
    <t>Totaal hoeveelheid niet-gevaarlijk afval geproduceerd (volume)</t>
  </si>
  <si>
    <t>Total des déchets non dangereux produits (en volume)</t>
  </si>
  <si>
    <t>Gesamtaufkommen nicht gefährlicher Abfälle (Volumen)</t>
  </si>
  <si>
    <t>Dramhaíl Neamhghuaiseach Iomlán a ghintear (toirt)</t>
  </si>
  <si>
    <t>Totale rifiuti non pericolosi generati (volume)</t>
  </si>
  <si>
    <t>Bendras nepavojingų atliekų kiekis (tūris)</t>
  </si>
  <si>
    <t>Całkowita ilość wytworzonych odpadów innych niż niebezpieczne (objętość)</t>
  </si>
  <si>
    <t>Resíduos não perigosos totais gerados (volume)</t>
  </si>
  <si>
    <t>Skupna količina nastalih nenevarnih odpadkov (prostornina)</t>
  </si>
  <si>
    <t>Residuos no peligrosos totales generados (volumen)</t>
  </si>
  <si>
    <t>template_label_total_waste_generated_volume</t>
  </si>
  <si>
    <t>Total waste generated (volume)</t>
  </si>
  <si>
    <t>Samlet produktion af affald (volume)</t>
  </si>
  <si>
    <t>Totale hoeveelheid geproduceerd afval (volume)</t>
  </si>
  <si>
    <t>Total des déchets produits (en volume)</t>
  </si>
  <si>
    <t>Gesamtabfallaufkommen (Volumen)</t>
  </si>
  <si>
    <t>Dramhaíl iomlán a ghintear (toirt)</t>
  </si>
  <si>
    <t>Totale rifiuti generati (volume)</t>
  </si>
  <si>
    <t>Bendras susidariusių atliekų kiekis (tūris)</t>
  </si>
  <si>
    <t>Całkowita ilość wytwarzanych odpadów (objętość)</t>
  </si>
  <si>
    <t>Produção total de resíduos (volume)</t>
  </si>
  <si>
    <t>Skupna količina nastalih odpadkov (prostornina)</t>
  </si>
  <si>
    <t>Residuos totales generados (volumen)</t>
  </si>
  <si>
    <t>template_label_b7_annual_mass_flow_of_relevant_materials_used</t>
  </si>
  <si>
    <t>B7 - Annual mass-flow of relevant materials used</t>
  </si>
  <si>
    <t xml:space="preserve">B7 - Årlig massestrøm af betydelige materialer brugt i virksomheden </t>
  </si>
  <si>
    <t>B7 – Jaarlijkse massastroom van relevante gebruikte materialen</t>
  </si>
  <si>
    <t>B7 – Flux massique annuel des matières pertinentes utilisées</t>
  </si>
  <si>
    <t>B7 – Jährlicher Massenstrom der verwendeten relevanten Materialien</t>
  </si>
  <si>
    <t>B7 – Mais-sreabhadh bliantúil na n-ábhar ábhartha a úsáideadh</t>
  </si>
  <si>
    <t>B7 – Flusso di massa annuo dei materiali pertinenti utilizzati</t>
  </si>
  <si>
    <t>B7 – Sunaudotų reikšmingų medžiagų kiekis</t>
  </si>
  <si>
    <t>B7 – Roczny przepływ masowy używanych istotnych materiałów</t>
  </si>
  <si>
    <t>B7 – Fluxo anual de massa de materiais relevantes utilizados</t>
  </si>
  <si>
    <t>Letni masni pretok zadevnih uporabljenih materialov</t>
  </si>
  <si>
    <t>B7 – Flujo anual de masa de materiales relevantes utilizados</t>
  </si>
  <si>
    <t>template_label_does_the_undertaking_operate_in_a_sector_using_significant_material_flows</t>
  </si>
  <si>
    <t>Does the undertaking the undertaking operate in a sector using significant material flows (for example manufacturing construction packaging or others)?</t>
  </si>
  <si>
    <t>Opererer virksomheden i en sektor, der anvender betydelige materialestrømme (for eksempel fremstilling, byggeri, emballage eller andre)?</t>
  </si>
  <si>
    <t>Bent de onderneming actief in een sector die aanzienlijke materiaalstromen gebruikt (bijvoorbeeld productie, bouw, verpakking of andere)?</t>
  </si>
  <si>
    <t>L’entreprise opère-t-elle dans un secteur qui utilise des flux de matières importants (par ex. fabrication, construction, emballage ou autres) ?</t>
  </si>
  <si>
    <t>Operiert das Unternehmen in einem Wirtschaftszweig mit erheblichen Materialflüssen (zum Beispiel verarbeitendes Gewerbe/Hertsellung von Waren, Baugewerbe/Bau, Abfüllen/Verpacken oder andere)?</t>
  </si>
  <si>
    <t>An oibríonn an gnóthas in earnáil a úsáideann sreabha suntasacha ábhar (mar shampla déantúsaíocht, foirgníocht, pacáistíocht nó eile)?</t>
  </si>
  <si>
    <t>L'impresa opera in un settore che utilizza flussi significativi di materiali (ad esempio industria manifatturiera, costruzione, imballaggio o altro)?</t>
  </si>
  <si>
    <t>Ar įmonė veikia sektoriuje, kuriame naudojami didelės apimties medžiagų srautai (pvz., gamyba, statyba, pakuočių sektorius ir kt.)?</t>
  </si>
  <si>
    <t>Czy jednostka prowadzi działalność w sektorze, w którym mają znaczenie znaczące przepływy materiałów (takim jak produkcja, budownictwo, branża opakowań lub inne)?</t>
  </si>
  <si>
    <t>A empresa opera num setor que utiliza fluxos significativos de materiais (por exemplo, fabrico, construção, embalagem ou outros)?</t>
  </si>
  <si>
    <t>Ali podjetje posluje v sektorju, ki uporablja znatne materialne tokove (na primer proizvodnja gradbene embalaže ali drugo)?</t>
  </si>
  <si>
    <t>¿Opera la empresa en un sector que utiliza flujos materiales significativos (por ejemplo, manufactura, construcción, embalaje u otros)?</t>
  </si>
  <si>
    <t>template_label_name_of_the_key_material</t>
  </si>
  <si>
    <t>Name of the key material</t>
  </si>
  <si>
    <t xml:space="preserve">Navn på det betydelige materiale </t>
  </si>
  <si>
    <t>Naam van het kernmateriaal</t>
  </si>
  <si>
    <t xml:space="preserve">  Nom de la matières clé </t>
  </si>
  <si>
    <t>Name der relevanten Materialien</t>
  </si>
  <si>
    <t>Ainm an ábhair phríomhúil</t>
  </si>
  <si>
    <t>Nome del materiale chiave</t>
  </si>
  <si>
    <t>Reikšmingos medžiagos pavadinimas</t>
  </si>
  <si>
    <t>Nazwa kluczowego materiału</t>
  </si>
  <si>
    <t>Nome do material essencial</t>
  </si>
  <si>
    <t>Ime ključnega materiala</t>
  </si>
  <si>
    <t>Nombre del material clave</t>
  </si>
  <si>
    <t>template_label_mass_volume</t>
  </si>
  <si>
    <t>Mass / Volume</t>
  </si>
  <si>
    <t xml:space="preserve">Masse / Volume </t>
  </si>
  <si>
    <t>Massa volume</t>
  </si>
  <si>
    <t>Masse / Volume</t>
  </si>
  <si>
    <t>Masse / Volumen</t>
  </si>
  <si>
    <t>Toirt Maise</t>
  </si>
  <si>
    <t>Massa / Volume</t>
  </si>
  <si>
    <t>Masė / Tūris</t>
  </si>
  <si>
    <t xml:space="preserve">Masowa / Objętość </t>
  </si>
  <si>
    <t>Masa / Prostornina</t>
  </si>
  <si>
    <t>Masa / Volumen</t>
  </si>
  <si>
    <t>template_label_total_annual_mass_flow_of_relevant_materials_used_mass</t>
  </si>
  <si>
    <t>Total annual mass-flow of relevant materials used (mass in kg)</t>
  </si>
  <si>
    <t>Samlet årlig massestrøm af betydelige materialer anvendt (masse i kg)</t>
  </si>
  <si>
    <t>Totale jaarlijkse massastroom van gebruikte relevante materialen (massa in kg)</t>
  </si>
  <si>
    <t>Total du flux massique annuel des matières pertinentes utilisées (masse en kg)</t>
  </si>
  <si>
    <t>Gesamter jährlicher Massenstrom der verwendeten relevanten Materialien (Masse in kg)</t>
  </si>
  <si>
    <t>Mais-shreabhadh bliantúil iomlán na n-ábhar ábhartha a úsáideadh (mais i kg)</t>
  </si>
  <si>
    <t>Flusso di massa annuo totale dei materiali pertinenti utilizzati (massa in kg)</t>
  </si>
  <si>
    <t>Bendras metinis reikšmingų naudojamų medžiagų masės srautas (masė, kg)</t>
  </si>
  <si>
    <t>Całkowity roczny przepływ masowy używanych istotnych materiałów (masa w kg)</t>
  </si>
  <si>
    <t>Fluxo anual de massa total dos materiais relevantes utilizados (massa em kg)</t>
  </si>
  <si>
    <t>Skupni letni masni pretok zadevnih uporabljenih materialov (masa v kg)</t>
  </si>
  <si>
    <t>Flujo anual total de masa de materiales relevantes utilizados (masa en kg)</t>
  </si>
  <si>
    <t>template_label_kilograms</t>
  </si>
  <si>
    <t>kilogram (kg)</t>
  </si>
  <si>
    <t>kilogrammen (kg)</t>
  </si>
  <si>
    <t>kilogrammes (kg)</t>
  </si>
  <si>
    <t>Kilogramm (kg)</t>
  </si>
  <si>
    <t>cileagraim (kg)</t>
  </si>
  <si>
    <t>chilogrammi (kg)</t>
  </si>
  <si>
    <t>kilogramai (kg)</t>
  </si>
  <si>
    <t>kilogramy (kg)</t>
  </si>
  <si>
    <t>quilogramas (kg)</t>
  </si>
  <si>
    <t>kilogrami (kg)</t>
  </si>
  <si>
    <t>kilogramos (kg)</t>
  </si>
  <si>
    <t>template_label_total_annual_mass_flow_of_relevant_materials_used_volume</t>
  </si>
  <si>
    <t>Total annual mass-flow of relevant materials used (volume in m³)</t>
  </si>
  <si>
    <t>Samlet årlig massestrøm af betyderlige metarialer anvendt (volumen i m³)</t>
  </si>
  <si>
    <t>Totale jaarlijkse massastroom van relevante gebruikte materialen (volume in m³)</t>
  </si>
  <si>
    <t>Total du flux massique annuel des matières pertinentes utilisées (volume en m³)</t>
  </si>
  <si>
    <t>Gesamter jährlicher Massenstrom der verwendeten relevanten Materialien (Volumen in m³)</t>
  </si>
  <si>
    <t>Mais-sreabhadh bliantúil iomlán na n-ábhar ábhartha a úsáidtear (toirt i m³)</t>
  </si>
  <si>
    <t>Flusso di massa annuo totale dei materiali pertinenti utilizzati (volume in m³)</t>
  </si>
  <si>
    <t>Bendras metinis reikšmingų naudojamų medžiagų srautas (tūris, m³)</t>
  </si>
  <si>
    <t>Całkowity roczny przepływ masowy używanych istotnych materiałów (objętość w m³)</t>
  </si>
  <si>
    <t>Fluxo de massa anual total dos materiais relevantes utilizados (volume em m³)</t>
  </si>
  <si>
    <t>Skupni letni masni pretok zadevnih uporabljenih materialov (volumen v m³)</t>
  </si>
  <si>
    <t>Flujo anual total de masa de materiales relevantes utilizados (volumen en m³)</t>
  </si>
  <si>
    <t>template_label_c4_climate_risks</t>
  </si>
  <si>
    <t>C4 – Klimarisici</t>
  </si>
  <si>
    <t>C4 — Klimaatrisico’s</t>
  </si>
  <si>
    <t>C4 – Klimabedingte Risiken</t>
  </si>
  <si>
    <t>C4 – Rioscaí aeráide</t>
  </si>
  <si>
    <t>C4 – Rischi climatici</t>
  </si>
  <si>
    <t>C4 - Klimato rizikos</t>
  </si>
  <si>
    <t>C4 – Ryzyko związane z klimatem</t>
  </si>
  <si>
    <t>C4 – Riesgos climáticos</t>
  </si>
  <si>
    <t>template_label_has_the_undertaking_identified_climate_related_hazards_and_climate_related_transition_events</t>
  </si>
  <si>
    <t>Has the undertaking identified climate-related hazards and climate-related transition events creating gross climate-related risks for the undertaking?</t>
  </si>
  <si>
    <t>Har virksomheden identificeret klimarelaterede farer og klimarelaterede omstillingshændelser, der skaber bruttoklimarelaterede risici for virksomheden?</t>
  </si>
  <si>
    <t xml:space="preserve"> Heeft de onderneming klimaatgerelateerde gevaren en klimaatgerelateerde transitiegebeurtenissen  vastgesteld die bruto klimaatgerelateerde risico’s voor de onderneming creëren?</t>
  </si>
  <si>
    <t>L’entreprise a-t-elle recensé des aléas liés au changement climatique et des événements liés à la transition climatique créant des risques bruts liés au changement climatique pour l’entreprise ?</t>
  </si>
  <si>
    <t>Hat das Unternehmen klimabedingte Gefahren und klimabedingte Übergangsereignisse ermittelt, aus denen sich bei Bruttobetrachtung klimabedingte Risiken für das Unternehmen ergeben?</t>
  </si>
  <si>
    <t>Ar aithin an gnóthas guaiseacha a bhaineann leis an aeráid agus teagmhais aistrithe a bhaineann leis an aeráid a chruthaíonn ollrioscaí a bhaineann leis an aeráid don ghnóthas?</t>
  </si>
  <si>
    <t xml:space="preserve">L'impresa ha individuato pericoli legati al clima ed eventi di transizione legati al clima che creano nei confronti dell'impresa rischi lordi legati al clima?
</t>
  </si>
  <si>
    <t>Ar įmonė nustatė su klimatu susijusias ir pereinamojo laikotarpio rizikas?</t>
  </si>
  <si>
    <t>Czy jednostka zidentyfikowała zagrożenia związane z klimatem i zdarzenia dotyczące przejścia związanego z klimatem, powodujące poważne ryzyka związane z klimatem dla jednostki?</t>
  </si>
  <si>
    <t xml:space="preserve">A empresa identificou perigos relacionados com o clima e eventos de transição relacionados com o clima que criam riscos brutos relacionados com o clima para a empresa?
</t>
  </si>
  <si>
    <t>Ali je podjetje opredelilo s podnebjem povezane nevarnosti in s prehodom povezane dogodke (spremembe), ki za podjetje ustvarjajo podnebna  tveganja?</t>
  </si>
  <si>
    <t>¿La empresa ha identificado peligros relacionados con el clima y eventos de transición climática que crean riesgos climáticos brutos para la empresa?</t>
  </si>
  <si>
    <t>template_label_description_of_climate_related_hazards_and_climate_related_transition_events</t>
  </si>
  <si>
    <t>Description of climate-related hazards and climate-related transition events</t>
  </si>
  <si>
    <t>Beskrivelse af klimarelaterede farer og klimarelaterede omstillingshændelser</t>
  </si>
  <si>
    <t>Beschrijving van klimaatgeïnduceerde gevaren en klimaatgeïnduceerde transitiegebeurtenissen</t>
  </si>
  <si>
    <t>Description des aléas liés au changement climatique et des événements liés à la transition climatique</t>
  </si>
  <si>
    <t>Beschreibung der klimabedingten Gefahren und klimabedingten Übergangsereignisse</t>
  </si>
  <si>
    <t>Cur síos ar ghuaiseacha a bhaineann leis an aeráid agus ar theagmhais aistrithe a bhaineann leis an aeráid</t>
  </si>
  <si>
    <t>Descrizione dei pericoli ed eventi di transizione legati al clima</t>
  </si>
  <si>
    <t>Klimato ir pereinamojo laikotarpio rizikų aprašymas</t>
  </si>
  <si>
    <t>Opis zagrożeń związanych z klimatem oraz zdarzeń dotyczących przejścia związanego z klimatem</t>
  </si>
  <si>
    <t>Descrição sucinta dos perigos relacionados com o clima e eventos de transição relacionados com o clima</t>
  </si>
  <si>
    <t xml:space="preserve">Opis podnebnih nevarnosti in dogodkov, povezanih s podnebnim prehodom </t>
  </si>
  <si>
    <t>Descripción de peligros relacionados con el clima y eventos relacionados con la transición climática</t>
  </si>
  <si>
    <t>template_label_disclosure_of_how_it_has_assessed_the_exposure_and_sensitivity_of_its_assets</t>
  </si>
  <si>
    <t>Disclosure of how it has assessed the exposure and sensitivity of its assets activities and value chain to these hazards and transition events</t>
  </si>
  <si>
    <t>Oplysning om, hvordan virksomheden har vurderet eksponeringen og følsomheden af sine aktiver, aktiviteter og værdikæde over for disse farer og omstillingshændelser</t>
  </si>
  <si>
    <t xml:space="preserve"> Rapportage van hoe de onderneming de blootstelling en gevoeligheid van haar activa, activiteiten en waardeketen met betrekking tot deze gevaren en transitiegebeurtenissen heeft beoordeeld</t>
  </si>
  <si>
    <t>Information sur comment elle a évalué l’exposition et la sensibilité de ses actifs, de ses activités et de sa chaîne de valeur à ces aléas et à ces événements liés à la transition</t>
  </si>
  <si>
    <t>Angabe, wie das Unternehmen die Exposition und Anfälligkeit seiner Vermögenswerte, Tätigkeiten und Wertschöpfungskette gegenüber diesen Gefahren und Übergangsereignissen bewertet hat</t>
  </si>
  <si>
    <t>Nochtadh ar an gcaoi ar mheas sé neamhchosaint agus íogaireacht a chuid sócmhainní agus a shlabhra luacha do na guaiseacha agus na teagmhais aistrithe sin</t>
  </si>
  <si>
    <t>Comunicazione del modo in cui ha valutato l'esposizione e la sensibilità dei suoi attivi, delle sue attività e della sua catena del valore a tali pericoli ed eventi di transizione</t>
  </si>
  <si>
    <t>Atskleidimas, kaip įmonė įvertino savo turto, veiklos ir vertės grandinės poveikį bei jautrumą šioms klimato rizikoms ir pereinamojo laikotarpio įvykiams</t>
  </si>
  <si>
    <t>Ujawnienie w jaki sposób zostało ocenione narażenie i wrażliwość jej aktywów, działań i łańcucha wartości na te zagrożenia i zdarzenia dotyczące przejścia</t>
  </si>
  <si>
    <t>Divulgação da forma como avaliou a exposição e a sensibilidade dos seus ativos, atividades e cadeia de valor a estes perigos e eventos de transição</t>
  </si>
  <si>
    <t>Razkritje, kako je podjetje ocenilo izpostavljenost in občutljivost svojih dejavnosti v zvezi s sredstvi in vrednostnimi papirji na podnebne nevarnosti in opredelilo dogodke v zvezi s prehodom</t>
  </si>
  <si>
    <t>Divulgación de cómo ha evaluado la exposición y la sensibilidad de sus activos, actividades y cadena de valor a estos peligros y sucesos de transición.</t>
  </si>
  <si>
    <t>template_label_time_horizons_of_any_climate_related_hazards_and_transition_events_identified</t>
  </si>
  <si>
    <t>Time horizons of any climate-related hazards and transition events identified</t>
  </si>
  <si>
    <t>Tidshorisonter for eventuelle identificerede klimarelaterede farer og omstillingshændelser</t>
  </si>
  <si>
    <t xml:space="preserve">Tijdshorizonten van geïdentificeerde klimaatgerelateerde gevaren en transitiegebeurtenissen
</t>
  </si>
  <si>
    <t>Horizons temporels des aléas liés au changement climatique et des événements liés à la transition climatique recensés</t>
  </si>
  <si>
    <t>Zeithorizonte etwaiger ermittelter klimabedingter Gefahren und Übergangsereignisse</t>
  </si>
  <si>
    <t>Tréimhsí ama ama d'aon ghuaiseacha a bhaineann leis an aeráid agus aon teagmhais aistrithe a sainaithníodh</t>
  </si>
  <si>
    <t>Orizzonti temporali di eventuali pericoli ed eventi di transizione legati al clima individuati</t>
  </si>
  <si>
    <t>Nustatytų su klimatu susijusių ir pereinamojo laikotarpio rizikų laiko horizontai</t>
  </si>
  <si>
    <t>Perspektywy czasowe wszelkich zagrożeń związanych z klimatem oraz zdarzeń dotyczących przejścia związanego z klimatem</t>
  </si>
  <si>
    <t>Horizontes temporais de quaisquer perigos relacionados com o clima e eventos de transição identificados</t>
  </si>
  <si>
    <t>Časovni okviri morebitnih podnebnih nevarnosti in zaznanih dogodkov v zvezi s podnebnim prehodom</t>
  </si>
  <si>
    <t>Horizontes temporales de los peligros relacionados con el clima y los eventos de transición identificados</t>
  </si>
  <si>
    <t>template_label_disclosure_of_whether_it_has_undertaken_climate_change_adaptation_actions</t>
  </si>
  <si>
    <t>Disclosure of whether it has undertaken climate change adaptation actions for any climate-related hazards and transition events</t>
  </si>
  <si>
    <t>Oplysninger om, hvorvidt virksomheden har gennemført tilpasning til klimaændringer i forhold til klimarelaterede farer og  omstillingshændelser</t>
  </si>
  <si>
    <t xml:space="preserve"> Rapportage over of de onderneming maatregelen voor klimaatadaptatie heeft genomen voor klimaatgerelateerde gevaren en transitiegebeurtenissen</t>
  </si>
  <si>
    <t>Indication si elle a entrepris des actions d’adaptation au changement climatique pour les aléas liés au changement climatique et les événements liés à la transition climatique</t>
  </si>
  <si>
    <t>Angabe, ob Maßnahmen zur Anpassung an den Klimawandel für klimabedingte Gefahren und Übergangsereignisse ergriffen wurden</t>
  </si>
  <si>
    <t>Nochtadh an bhfuil sé tar éis gníomhaíochtaí oiriúnaithe don athrú aeráide a dhéanamh i leith aon ghuaiseacha a bhaineann leis an aeráid agus teagmhais aistrithe a bhaineann leis an aeráid</t>
  </si>
  <si>
    <t>Comunicazione se ha intrapreso azioni di adattamento ai cambiamenti climatici per eventuali pericoli ed eventi di transizione legati al clima</t>
  </si>
  <si>
    <t>Atskleidimas, ar įmonė ėmėsi klimato kaitos prisitaikymo veiksmų dėl bet kokių su klimatu susijusių ir pereinamojo laikotarpio rizikų</t>
  </si>
  <si>
    <t>Ujawnienie czy podjęła działania mające na celu przystosowanie się do zmiany klimatu w odniesieniu do wszelkich zagrożeń związanych z klimatem i zdarzeń dotyczących przejścia związanego z klimatem</t>
  </si>
  <si>
    <t xml:space="preserve">Divulgação se realizou ações de adaptação às alterações climáticas para quaisquer perigos relacionados com o clima e eventos de transição. 
</t>
  </si>
  <si>
    <t>Razkritje, ali je podjejte sprejelo ukrepe za prilagajanje podnebnim spremembam za morebitne podnebne nevarnosti in dogodke v zvezi s prehodom</t>
  </si>
  <si>
    <t>Divulgación sobre si ha emprendido actuaciones de adaptación al cambio climático con respecto a cualquier peligro y suceso de transición relacionado con el clima.</t>
  </si>
  <si>
    <t>template_label_potential_adverse_effects_of_climate_risks</t>
  </si>
  <si>
    <t>Potential adverse effects of climate risks that may affect its financial performance or business operations in the short- medium- or long-term indicating whether it assesses the risks to be high medium or low</t>
  </si>
  <si>
    <t>Potentielle negative virkninger af klimarisici, der kan påvirke dens finansielle 
resultater eller forretningsaktiviteter på kort, mellemlang eller lang sigt, og angive, om den vurderer risiciene som  høje, mellemstore eller lave</t>
  </si>
  <si>
    <t>De potentiële negatieve effecten van klimaatrisico’s die de financiële prestaties of bedrijfsactiviteiten op korte, middellange of lange termijn kunnen beïnvloeden, waarbij wordt aangegeven of zij de risico’s als hoog, gemiddeld of laag beoordeelt.</t>
  </si>
  <si>
    <t>Effets potentiels négatifs des risques climatiques susceptibles d’affecter ses performances financières ou ses activités à court, moyen ou long terme, en indiquant si elle estime que les risques sont élevés, moyens ou faibles</t>
  </si>
  <si>
    <t>Potenziell nachteilige Auswirkungen von klimabedingten Risiken, die die finanzielle Leistungsfähigkeit oder Geschäftstätigkeit des Unternehmens kurz-, mittel- oder langfristig beeinträchtigen können, unter der Angabe, ob die Risiken als hoch, mittel oder niedrig eingeschätzt werden.</t>
  </si>
  <si>
    <t>Tionchair dhiúltacha fhéideartha na rioscaí aeráide a d’fhéadfadh difear a dhéanamh dá fheidhmíocht airgeadais nó dá oibríochtaí gnó sa ghearrthéarma, sa mheántéarma agus san fhadtéarma a nochtadh, 
agus a thabhairt le fios an measann sé na rioscaí a bheith ina rioscaí arda, meánacha nó ísle.</t>
  </si>
  <si>
    <t>L'impresa può segnalare i potenziali effetti negativi dei rischi climatici che potrebbero incidere sui suoi risultati finanziari o sulle sue operazioni aziendali a breve, medio o lungo termine, precisando se reputa che i rischi siano elevati, medi o bassi.</t>
  </si>
  <si>
    <t>Įmonė gali atskleisti galimą neigiamą su klimatu susijusios rizikos poveikį, kuris gali turėti įtakos jos finansiniams veiklos rezultatams arba verslo veiklai trumpuoju, vidutinės trukmės ar ilguoju laikotarpiu, nurodydama, ar, jos vertinimu, rizika yra didelė, vidutinė ar maža.</t>
  </si>
  <si>
    <t>Potencjalne negatywne skutki ryzyk związanych z klimatem, które mogące wpłynąć na jej wyniki finansowe lub działalność gospodarczą w perspektywie krótko-, średnio- lub długoterminowej, wskazując, czy według jej oceny poziom tych ryzyk jest wysoki, średni, czy też niski</t>
  </si>
  <si>
    <t>Potenciais efeitos adversos dos riscos climáticos suscetíveis de afetar o seu desempenho financeiro ou as suas operações comerciais a curto, médio ou longo prazo, indicando se avalia os riscos como elevados, médios ou baixos.</t>
  </si>
  <si>
    <t>Potencialni negativni učinki podnebnih sprememb, ki lahko vplivajo na finančno uspešnost ali poslovanje kratkoročno, srednjeročno ali dolgoročno, z navedbo, ali podjetje ocenjuje tveganja kot visoka, srednja ali nizka.</t>
  </si>
  <si>
    <t>La empresa podrá indicar los posibles efectos adversos de los riesgos climáticos que puedan afectar a su rendimiento financiero o a sus operaciones empresariales a corto, medio o largo plazo, indicando si considera que dichos riesgos son elevados, medios y bajos.</t>
  </si>
  <si>
    <t>template_label_disclosure_of_any_other_environmental_and_or_entity_specific_environmental_disclosures</t>
  </si>
  <si>
    <t>Disclosure of any other environmental and/or entity specific environmental disclosures</t>
  </si>
  <si>
    <t>Oplysning om andre miljørelaterede og/eller virksomhedsspecifikke miljøoplysninger</t>
  </si>
  <si>
    <t>Rapportage van andere milieugerelateerde en/of entiteitspecifieke  milieurapportages</t>
  </si>
  <si>
    <t>Publication de toute autre information environnementale et/ ou spécifique à l'entité</t>
  </si>
  <si>
    <t>Angabe weiterer umweltbezogener und/oder umweltbezogener unternehmensspezifischer Angaben</t>
  </si>
  <si>
    <t>Nochtadh aon nochtadh comhshaoil eile a bhaineann go sonrach leis an gcomhshaol agus/nó a bhaineann go sonrach le comhshaol</t>
  </si>
  <si>
    <t>Comunicazione di qualsiasi altra informativa ambientale e/o specifica per soggetto</t>
  </si>
  <si>
    <t>Bet kokios kitos aplinkosaugos ir/ar įmonės specifinės aplinkosaugos informacijos atskleidimas</t>
  </si>
  <si>
    <t>Ujawnienie wszelkich innych ujawnień środowiskowych i/lub specyficznych dla jednostki ujawnień środowiskowych</t>
  </si>
  <si>
    <t>Divulgação de quaisquer outras divulgações ambientais e/ou divulgações específicas ambientais da empresa</t>
  </si>
  <si>
    <t>Razkritje vseh drugih okoljskih in/ali za podjetje specifičnih okoljskih razkritij</t>
  </si>
  <si>
    <t>Divulgación de cualquier otra divulgación ambiental y/o ambiental específica de la entidad</t>
  </si>
  <si>
    <t>template_label_employee_counting_methodology_for_the_disclosures_below_headcount_full_time_equivalent</t>
  </si>
  <si>
    <t>Employee counting methodology for the disclosures below (Headcount or Full time Equivalent linked from B1</t>
  </si>
  <si>
    <t>Metode til opgørelse af antal ansatte for nedenstående oplysninger (samlet antal ansatte eller fuldtidsækvivalenter, koblet fra B1)</t>
  </si>
  <si>
    <t>Methodologie voor het berekenen aantal werknemers voor onderstaande toelichtingen (Aantal medewerkers of voltijdsequivalent gekoppeld vanuit B1)</t>
  </si>
  <si>
    <t>Méthodologie de comptage des effectifs pour les informations ci-dessous (effectif ou équivalent temps plein lié à B1)</t>
  </si>
  <si>
    <t>Art der Zählung von Beschäftigten für die nachstehenden Angaben (Beschäftigtenzahl oder Vollzeitäquivalente, verknüpft mit B1)</t>
  </si>
  <si>
    <t>Modheolaíocht chomhairimh fostaithe do na nochtuithe thíos (Líon na nDaoine nó Coibhéis Lánaimseartha nasctha ó B1</t>
  </si>
  <si>
    <t>Metodologia di conteggio dei dipendenti per le informative seguenti (effettivi o equivalenti a tempo pieno collegati da B1)</t>
  </si>
  <si>
    <t>Darbuotojų skaičiavimo metodika žemiau pateikiamoms ataskaitoms (darbuotojų skaičius arba pilno darbo laiko ekvivalentas, susietas su B1)</t>
  </si>
  <si>
    <t>Metodologia liczenia pracowników dla poniższych ujawnień (liczba zatrudnionych lub ekwiwalent pełnego czasu pracy powiązany z B1)</t>
  </si>
  <si>
    <t>Metodologia de contagem de trabalhadores para as divulgações abaixo (Número de efetivos ou Equivalente a Tempo completo relacionados com B1)</t>
  </si>
  <si>
    <t>Metodologija štetja zaposlenih za spodnja razkritja (število zaposlenih ali ekvivalent polnega delovnega časa, povezano z B1)</t>
  </si>
  <si>
    <t>Metodología para el recuento de empleados para las divulgaciones siguientes (Número de empleados o Equivalente a tiempo completo vinculado desde B1)</t>
  </si>
  <si>
    <t>template_label_employee_counting_methodology_for_the_disclosures_below_period</t>
  </si>
  <si>
    <t>Employee counting methodology for the disclosures below (At the end of the reporting period or as an average across the reporting period linked from B1)</t>
  </si>
  <si>
    <t>Metode til opgørelse af antal ansatte for nedenstående oplysninger (ved udgangen af rapporteringsperioden eller som gennemsnit over rapporteringsperioden, koblet fra B1)</t>
  </si>
  <si>
    <t>Methodologie voor het tellen van werknemers voor onderstaande openbaarmakingen (Aan het einde van de rapportageperiode of als een gemiddelde over de rapportageperiode gekoppeld aan B1)</t>
  </si>
  <si>
    <t>Méthodologie de comptage des effectifs pour les informations ci-dessous (à la fin de la période de reporting ou en moyenne sur la période de reporting liée à B1)</t>
  </si>
  <si>
    <t>Art der Zählung von Beschäftigten für die nachstehenden Angaben (Am Ende des Berichtszeitraums oder als Durchschnitt über den Berichtszeitraum, verknüpft aus B1)</t>
  </si>
  <si>
    <t>Modheolaíocht comhairimh fostaithe do na nochtuithe thíos (Ag deireadh na tréimhse tuairiscithe nó mar mheán ar fud na tréimhse tuairiscithe nasctha ó B1)</t>
  </si>
  <si>
    <t>Metodologia di conteggio dei dipendenti per le informative seguenti (Alla fine del periodo di riferimento o come media nel periodo di riferimento collegata da B1)</t>
  </si>
  <si>
    <t>Darbuotojų skaičiavimo metodika toliau pateikiamoms atskleidimo dalims (ataskaitinio laikotarpio pabaigoje arba kaip vidurkis per ataskaitinį laikotarpį, susietą su B1)</t>
  </si>
  <si>
    <t>Metodologia liczenia pracowników dla poniższych ujawnień (na koniec okresu sprawozdawczego lub jako średnia w całym okresie sprawozdawczym powiązana z B1)</t>
  </si>
  <si>
    <t>Metodologia de contagem de trabalhadores para as divulgações abaixo (No final do período de relato ou como uma média ao longo do período de relato ligado a partir de B1)</t>
  </si>
  <si>
    <t>Metodologija štetja zaposlenih za spodnja razkritja (ob koncu obdobja poročanja ali kot povprečje v celotnem obdobju poročanja, povezano z B1)</t>
  </si>
  <si>
    <t>Metodología de recuento de empleados para las divulgaciones siguientes (Al final del período de reporte o como un promedio durante el período de reporte vinculado desde B1)</t>
  </si>
  <si>
    <t>template_label_b8_workforce_general_characteristics_type_of_contract</t>
  </si>
  <si>
    <t>B8 - Workforce - General characteristics - Type of contract</t>
  </si>
  <si>
    <t xml:space="preserve">B8 – Arbejdsstyrke – Generelle karakteristika - Type af ansættelseskontrakt </t>
  </si>
  <si>
    <t>B8 – Personeel – Algemene kenmerken - Soort arbeidsovereenkomst</t>
  </si>
  <si>
    <t>B8 –   Personnel – Caractéristiques générales  - Type de contrat</t>
  </si>
  <si>
    <t>B8 – Arbeitskräfte – Allgemeine Merkmale – Art des Arbeitsvertrags</t>
  </si>
  <si>
    <t>B8 – Lucht saothair – Saintréithe ginearálta – Cineál an chonartha</t>
  </si>
  <si>
    <t>B8 – Forza lavoro – Caratteristiche generali - Tipo di contratto</t>
  </si>
  <si>
    <t>B8 –Sava darbo jėga – Bendrieji rodikliai - Sutarties rūšis</t>
  </si>
  <si>
    <t>B8 – Zasoby pracownicze – Ogólna charakterystyka - Rodzaj umowy</t>
  </si>
  <si>
    <t>B8 – Mão-de-obra – Características gerais - Tipo de contrato</t>
  </si>
  <si>
    <t>B8 – Delovna sila – Splošne značilnosti – Vrsta pogodbe</t>
  </si>
  <si>
    <t>B8 –Trabajadores– Características generales - Tipo de contrato</t>
  </si>
  <si>
    <t>template_label_type_of_contract</t>
  </si>
  <si>
    <t>Type of contract</t>
  </si>
  <si>
    <t xml:space="preserve">Type af ansættelseskontrakt </t>
  </si>
  <si>
    <t>Soort arbeidsovereenkomst</t>
  </si>
  <si>
    <t>Type de contrat</t>
  </si>
  <si>
    <t>Art des Vertrags</t>
  </si>
  <si>
    <t>Cineál an chonartha</t>
  </si>
  <si>
    <t>Tipo di contratto</t>
  </si>
  <si>
    <t>Sutarties tipas</t>
  </si>
  <si>
    <t>Rodzaj umowy</t>
  </si>
  <si>
    <t>Tipo de contrato</t>
  </si>
  <si>
    <t>Vrsta pogodbe</t>
  </si>
  <si>
    <t>template_label_permanent_contract</t>
  </si>
  <si>
    <t>Permanent contract</t>
  </si>
  <si>
    <t>Tidsubegrænset kontrakt</t>
  </si>
  <si>
    <t>Vast contract</t>
  </si>
  <si>
    <t>Contrat de travail à durée indéterminée</t>
  </si>
  <si>
    <t>Unbefristeter Vertrag</t>
  </si>
  <si>
    <t>Conradh buan</t>
  </si>
  <si>
    <t>Neterminuota sutartis</t>
  </si>
  <si>
    <t>Umowa na czas nieokreślony</t>
  </si>
  <si>
    <t>Contrato sem termo</t>
  </si>
  <si>
    <t>Pogodba za nedoločen čas</t>
  </si>
  <si>
    <t>Contrato indefinido</t>
  </si>
  <si>
    <t>template_label_temporary_contract</t>
  </si>
  <si>
    <t>Temporary contract</t>
  </si>
  <si>
    <t xml:space="preserve">Midlertidig kontrakt </t>
  </si>
  <si>
    <t>Tijdelijk contract</t>
  </si>
  <si>
    <t>Contrat de travail à durée déterminée</t>
  </si>
  <si>
    <t>Befristeter Vertrag</t>
  </si>
  <si>
    <t>Conradh sealadach</t>
  </si>
  <si>
    <t>Contratto temporaneo</t>
  </si>
  <si>
    <t>Terminuota sutartis</t>
  </si>
  <si>
    <t>Umowa na czas określony</t>
  </si>
  <si>
    <t>Contrato a termo</t>
  </si>
  <si>
    <t>Začasna pogodba</t>
  </si>
  <si>
    <t>Contrato temporal</t>
  </si>
  <si>
    <t>template_label_total_employees</t>
  </si>
  <si>
    <t>Total employees (linked to B1)</t>
  </si>
  <si>
    <t>Samlet antal ansatte (koblet fra B1)</t>
  </si>
  <si>
    <t>Totaal aantal werknemers (gerelateerd aan B1)</t>
  </si>
  <si>
    <t>Nombre total de salariés (lié à B1)</t>
  </si>
  <si>
    <t>Beschäftigte insgesamt (verknüpft mit B1)</t>
  </si>
  <si>
    <t>Fostaithe iomlána (nasctha le B1)</t>
  </si>
  <si>
    <t>Totale dipendenti (collegato a B1)</t>
  </si>
  <si>
    <t>Bendras darbuotojų skaičius (susijęs su B1)</t>
  </si>
  <si>
    <t>Liczba pracowników ogółem (odniesienie do B1)</t>
  </si>
  <si>
    <t>Total de trabalhadores (relacionados com B1)</t>
  </si>
  <si>
    <t>Skupaj zaposlenih (vezano na B1)</t>
  </si>
  <si>
    <t>Total de asalariados (vinculados a B1)</t>
  </si>
  <si>
    <t>template_label_b8_workforce_general_characteristics_gender</t>
  </si>
  <si>
    <t>B8 - Workforce - General characteristics - Gender</t>
  </si>
  <si>
    <t>B8 – Arbejdsstyrke – Generelle karakteristika - Køn</t>
  </si>
  <si>
    <t>B8 – Personeel – Algemene kenmerken - Gender</t>
  </si>
  <si>
    <t>B8 –   Personnel – Caractéristiques générales  - Genre</t>
  </si>
  <si>
    <t>B8 – Belegschaft – Allgemeine Merkmale – Geschlecht</t>
  </si>
  <si>
    <t>B8 – Lucht saothair – Saintréithe ginearálta – Inscne</t>
  </si>
  <si>
    <t xml:space="preserve">B8 – Forza lavoro – Caratteristiche generali - Genere
</t>
  </si>
  <si>
    <t>B8 – Sava darbo jėga – Bendrieji rodikliai – Lytis</t>
  </si>
  <si>
    <t>B8 – Zasoby pracownicze – Ogólne charakterystyki - Płeć</t>
  </si>
  <si>
    <t>B8 – Força de trabalho – Características gerais - Género</t>
  </si>
  <si>
    <t>B8 – Delovna sila – Splošne značilnosti – Spol</t>
  </si>
  <si>
    <t>B8 – Trabajadores – Características generales – Género</t>
  </si>
  <si>
    <t>template_label_gender</t>
  </si>
  <si>
    <t>Gender</t>
  </si>
  <si>
    <t>Køn</t>
  </si>
  <si>
    <t>Genre</t>
  </si>
  <si>
    <t>Geschlecht</t>
  </si>
  <si>
    <t>Inscne</t>
  </si>
  <si>
    <t>Genere</t>
  </si>
  <si>
    <t>Lytis</t>
  </si>
  <si>
    <t>Płeć</t>
  </si>
  <si>
    <t>Género</t>
  </si>
  <si>
    <t>Spol</t>
  </si>
  <si>
    <t>template_label_male</t>
  </si>
  <si>
    <t>Male</t>
  </si>
  <si>
    <t>Mand</t>
  </si>
  <si>
    <t>Man</t>
  </si>
  <si>
    <t>Homme</t>
  </si>
  <si>
    <t>Männlich</t>
  </si>
  <si>
    <t>Fireann</t>
  </si>
  <si>
    <t>Uomini</t>
  </si>
  <si>
    <t>Vyrai</t>
  </si>
  <si>
    <t>Mężczyzna</t>
  </si>
  <si>
    <t>Masculino</t>
  </si>
  <si>
    <t>Moški</t>
  </si>
  <si>
    <t>template_label_female</t>
  </si>
  <si>
    <t>Female</t>
  </si>
  <si>
    <t>Kvinde</t>
  </si>
  <si>
    <t>Vrouw</t>
  </si>
  <si>
    <t>Femme</t>
  </si>
  <si>
    <t>Weiblich</t>
  </si>
  <si>
    <t>Baineann</t>
  </si>
  <si>
    <t>Donne</t>
  </si>
  <si>
    <t>Moterys</t>
  </si>
  <si>
    <t>Kobieta</t>
  </si>
  <si>
    <t>Feminino</t>
  </si>
  <si>
    <t>Ženska</t>
  </si>
  <si>
    <t>Femenino</t>
  </si>
  <si>
    <t>template_label_other</t>
  </si>
  <si>
    <t>Andet</t>
  </si>
  <si>
    <t>Overig</t>
  </si>
  <si>
    <t>Autre</t>
  </si>
  <si>
    <t>Andere</t>
  </si>
  <si>
    <t>Eile</t>
  </si>
  <si>
    <t>Altro</t>
  </si>
  <si>
    <t>Kita</t>
  </si>
  <si>
    <t>Inna</t>
  </si>
  <si>
    <t>Outro</t>
  </si>
  <si>
    <t>Drugo</t>
  </si>
  <si>
    <t>Otro</t>
  </si>
  <si>
    <t>template_label_not_reported</t>
  </si>
  <si>
    <t>Not reported</t>
  </si>
  <si>
    <t xml:space="preserve">Ikke registereret </t>
  </si>
  <si>
    <t>Niet gerapporteerd</t>
  </si>
  <si>
    <t>Non communiqué</t>
  </si>
  <si>
    <t>Nicht angegeben</t>
  </si>
  <si>
    <t>Gan tuairisciú</t>
  </si>
  <si>
    <t>Non comunicato</t>
  </si>
  <si>
    <t>Nenurodyta</t>
  </si>
  <si>
    <t>Nie zgłoszono</t>
  </si>
  <si>
    <t>Não reportado</t>
  </si>
  <si>
    <t>Ni poročano</t>
  </si>
  <si>
    <t>No Informado</t>
  </si>
  <si>
    <t>template_label_b8_workforce_general_characteristics_country_of_employment</t>
  </si>
  <si>
    <t>B8 - Workforce - General characteristics - Country of employment</t>
  </si>
  <si>
    <t>B8 – Arbejdsstyrke – Generelle karakteristika - Land for indgåelse af ansættelseskontrakten</t>
  </si>
  <si>
    <t xml:space="preserve">B8 – Personeel – Algemene kenmerken - Land van tewerkstelling
</t>
  </si>
  <si>
    <t>B8 –   Personnel – Caractéristiques générales  - Pays d'emploi</t>
  </si>
  <si>
    <t>Arbeitskräfte – Allgemeine Merkmale – Beschäftigungsland</t>
  </si>
  <si>
    <t>B8 – Lucht saothair – Saintréithe ginearálta – Tír na fostaíochta</t>
  </si>
  <si>
    <t>B8 – Forza lavoro – Caratteristiche generali - Paese del contratto di lavoro</t>
  </si>
  <si>
    <t>B8 – Sava darbo jėga – Bendrieji rodikliai - Darbo sutarties šalis</t>
  </si>
  <si>
    <t>B8 – Zasoby pracownicze – Ogólna charakterystyka - Kraj zatrudnienia</t>
  </si>
  <si>
    <t>B8 – Mão-de-obra – Características gerais – País do contrato de trabalho</t>
  </si>
  <si>
    <t>B8 – Delovna sila – Splošne značilnosti – Država zaposlitve</t>
  </si>
  <si>
    <t>B8 – Trabajadores – Características generales - País de empleo</t>
  </si>
  <si>
    <t>template_label_country_of_employment_contract</t>
  </si>
  <si>
    <t>Country of employment contract</t>
  </si>
  <si>
    <t xml:space="preserve">Land, hvor ansættelseskontrakten er indgået </t>
  </si>
  <si>
    <t>Land van arbeidsovereenkomst</t>
  </si>
  <si>
    <t>Pays du contrat de travail</t>
  </si>
  <si>
    <t>Land des Arbeitsvertrags</t>
  </si>
  <si>
    <t>Tír an chonartha fostaíochta</t>
  </si>
  <si>
    <t>Paese del contratto di lavoro</t>
  </si>
  <si>
    <t>Šalis, kurioje sudaryta darbo sutartis</t>
  </si>
  <si>
    <t>Kraj umowy o pracę</t>
  </si>
  <si>
    <t>País do contrato de trabalho</t>
  </si>
  <si>
    <t>Država pogodbe o zaposlitvi</t>
  </si>
  <si>
    <t xml:space="preserve">País del contrato de trabajo
</t>
  </si>
  <si>
    <t>template_label_undertaking_operating_in_more_than_one_country</t>
  </si>
  <si>
    <t>Does the undertaking operate in more than one country?</t>
  </si>
  <si>
    <t xml:space="preserve">Opererer virksomheden i mere end ét land? </t>
  </si>
  <si>
    <t>"Is de onderneming actief in meer dan één land?"</t>
  </si>
  <si>
    <t>L'entreprise exerce-t-elle ses activités dans plus d'un pays ?</t>
  </si>
  <si>
    <t>Hat das Unternehmen Geschäftstätigkeiten in mehr als einem Land?</t>
  </si>
  <si>
    <t>An oibríonn an gnóthas i níos mó ná tír amháin?</t>
  </si>
  <si>
    <t>La società opera in più di un paese?</t>
  </si>
  <si>
    <t>Ar įmonė veikia daugiau nei vienoje šalyje?</t>
  </si>
  <si>
    <t>Czy jednostka prowadzi działalność w więcej niż jednym kraju?</t>
  </si>
  <si>
    <t>A empresa opera em mais de um país?</t>
  </si>
  <si>
    <t>Ali podjetje deluje v več kot eni državi?</t>
  </si>
  <si>
    <t>¿Opera la empresa en más de un país?</t>
  </si>
  <si>
    <t>template_label_b8_workforce_general_characteristics_turnover_rate</t>
  </si>
  <si>
    <t>B8 - Workforce - General characteristics - Turnover rate</t>
  </si>
  <si>
    <t>B8 – Arbejdsstyrke – Generelle karakteristika - Medarbejderomsætning</t>
  </si>
  <si>
    <t xml:space="preserve">B8 – Personeel – Algemene kenmerken - Verlooppercentage
</t>
  </si>
  <si>
    <t>B8 –   Personnel – Caractéristiques générales  - Taux de rotation des salariés</t>
  </si>
  <si>
    <t>B8 – Arbeitskräfte – Allgemeine Merkmale – Fluktuationsrate</t>
  </si>
  <si>
    <t>B8 – Lucht saothair – Saintréithe ginearálta – Ráta láimhdeachais</t>
  </si>
  <si>
    <t>B8 – Forza lavoro – Caratteristiche generali - Tasso di avvicendamento</t>
  </si>
  <si>
    <t>B8 – Sava darbo jėga– Bendrieji rodikliai – Darbuotojų kaita</t>
  </si>
  <si>
    <t>B8 – Zasoby pracownicze – Ogólna charakterystyka - Wskaźnik rotacji</t>
  </si>
  <si>
    <t>B8 – Mão-de-obra – Características gerais - Taxa de rotatividade</t>
  </si>
  <si>
    <t>B8 – Delovna sila – Splošne značilnosti – Stopnja fluktuacije</t>
  </si>
  <si>
    <t>B8 – Trabajadores – Características generales - Tasa de rotación</t>
  </si>
  <si>
    <t>template_label_number_of_employees_who_left_during_the_reporting_period</t>
  </si>
  <si>
    <t>Number of employees who left during the reporting period</t>
  </si>
  <si>
    <t>Antal ansatte, der fratrådte i løbet af rapporteringsperioden</t>
  </si>
  <si>
    <t>Aantal vertrokken werknemers  gedurende de rapportageperiode</t>
  </si>
  <si>
    <t>Nombre de salariés ayant quitté l'entreprise pendant la période de reporting</t>
  </si>
  <si>
    <t>Anzahl der Beschäftigten, die während des Berichtszeitraums aus dem Unternehmen ausgeschieden sind</t>
  </si>
  <si>
    <t>Líon na bhfostaithe a d'fhág le linn na tréimhse tuairiscithe</t>
  </si>
  <si>
    <t xml:space="preserve">Numero di dipendenti che hanno lasciato l'impresa durante l'anno di riferimento
</t>
  </si>
  <si>
    <t>Įmonę per ataskaitinį laikotarpį palikusių darbuotojų skaičius</t>
  </si>
  <si>
    <t>Liczba pracowników, którzy opuścili jednostkę w okresie sprawozdawczym</t>
  </si>
  <si>
    <t>Número de trabalhadores que saíram durante o período de relato</t>
  </si>
  <si>
    <t>Število zaposlenih, ki so odšli v obdobju poročanja</t>
  </si>
  <si>
    <t>Número de empleados que abandonaron durante el periodo de referencia</t>
  </si>
  <si>
    <t>template_label_number_of_employees_at_the_beginning_of_the_reporting_period</t>
  </si>
  <si>
    <t>Number of employees at the beginning of the reporting period</t>
  </si>
  <si>
    <t>Antal ansatte ved begyndelsen af rapporteringsperioden</t>
  </si>
  <si>
    <t>Aantal werknemers aan het begin van de rapportageperiode</t>
  </si>
  <si>
    <t>Nombre de salariés au début de la période de reporting</t>
  </si>
  <si>
    <t>Anzahl der Beschäftigten zu Beginn des Berichtszeitraums</t>
  </si>
  <si>
    <t>Líon na bhfostaithe ag tús na tréimhse tuairiscithe</t>
  </si>
  <si>
    <t>Numero di dipendenti all'inizio dell'anno di riferimento</t>
  </si>
  <si>
    <t>Darbuotojų skaičius ataskaitinio laikotarpio pradžioje</t>
  </si>
  <si>
    <t>Liczba pracowników na początku okresu sprawozdawczego</t>
  </si>
  <si>
    <t>Número de trabalhadores no início do período de relato</t>
  </si>
  <si>
    <t>Število zaposlenih na začetku poročevalskega obdobja</t>
  </si>
  <si>
    <t>Número de empleados al inicio del período de informe</t>
  </si>
  <si>
    <t>template_label_number_of_employees_at_the_end_of_the_reporting_period</t>
  </si>
  <si>
    <t>Number of employees at the end of the reporting period</t>
  </si>
  <si>
    <t>Antal ansatte ved udgangen af rapporteringsperioden</t>
  </si>
  <si>
    <t xml:space="preserve">Aantal werknemers aan het einde van de rapportageperiode </t>
  </si>
  <si>
    <t>Nombre de salariés à la fin de la période de reporting</t>
  </si>
  <si>
    <t>Anzahl der Beschäftigten am Ende des Berichtszeitraums</t>
  </si>
  <si>
    <t>Líon na bhfostaithe ag deireadh na tréimhse tuairiscithe</t>
  </si>
  <si>
    <t>Numero di dipendenti alla fine dell'anno di riferimento</t>
  </si>
  <si>
    <t>Darbuotojų skaičius ataskaitinio laikotarpio pabaigoje</t>
  </si>
  <si>
    <t>Liczba pracowników na koniec okresu sprawozdawczego</t>
  </si>
  <si>
    <t>Número de trabalhadores no final do período de relato</t>
  </si>
  <si>
    <t>Število zaposlenih ob koncu poročevalskega obdobja</t>
  </si>
  <si>
    <t>Número de empleados al final del período de reporte</t>
  </si>
  <si>
    <t>template_label_employee_turnover_rate_in_the_reporting_period</t>
  </si>
  <si>
    <t>Employee turnover rate [%]  in the reporting period</t>
  </si>
  <si>
    <t>Medarbejderomsætningsrate [%] i rapporteringsperioden</t>
  </si>
  <si>
    <t xml:space="preserve">Werknemersverlooppercentage [%] gedurende de rapportageperiode 
</t>
  </si>
  <si>
    <t xml:space="preserve">Taux de rotation des salariés [%] pendant la période de reporting
</t>
  </si>
  <si>
    <t>Fluktuationsrate der Beschäftigten [%] im Berichtszeitraum</t>
  </si>
  <si>
    <t>Ráta láimhdeachais fostaithe [%] sa tréimhse tuairiscithe</t>
  </si>
  <si>
    <t xml:space="preserve">Tasso di avvicendamento dei dipendenti [%] nell'anno di riferimento
</t>
  </si>
  <si>
    <t>Darbuotojų kaitos rodiklis [%] ataskaitiniu laikotarpiu</t>
  </si>
  <si>
    <t>Wskaźnik rotacji pracowników [%] w okresie sprawozdawczym</t>
  </si>
  <si>
    <t>Taxa de rotatividade de trabalhadores [%] no período de relato</t>
  </si>
  <si>
    <t>Stopnja fluktuacije zaposlenih [%] v poročevalskem obdobju</t>
  </si>
  <si>
    <t>Tasa de rotación de empleados [%] durante el período de informe</t>
  </si>
  <si>
    <t>template_label_b9_workforce_health_and_safety</t>
  </si>
  <si>
    <t>B9 – Personeel – Gezondheid en veiligheid</t>
  </si>
  <si>
    <t>B9 – Arbeitskräfte – Gesundheitsschutz und Sicherheit</t>
  </si>
  <si>
    <t>B9 – Lucht saothair – Sláinte agus sábháilteacht</t>
  </si>
  <si>
    <t>B9 – Sava darbo jėga – Sveikata ir sauga</t>
  </si>
  <si>
    <t>B9 – Zasoby pracownicze – Bezpieczeństwo i higiena pracy</t>
  </si>
  <si>
    <t xml:space="preserve">B9 – Trabajadores – Salud y seguridad
</t>
  </si>
  <si>
    <t>template_label_number_of_recordable_work_related_accidents_in_the_reporting_period</t>
  </si>
  <si>
    <t>Number of recordable work-related accidents in the reporting period</t>
  </si>
  <si>
    <t>Antallet af registrerbare arbejdsrelaterede ulykker i rapporteringsperioden</t>
  </si>
  <si>
    <t>Aantal  registreerbare  arbeidsongevallen in de rapportageperiode</t>
  </si>
  <si>
    <t>Nombre d'accidents du travail comptabilisables pendant la période de reporting</t>
  </si>
  <si>
    <t>Anzahl der meldepflichtigen Arbeitsunfälle im Berichtszeitraum</t>
  </si>
  <si>
    <t>Líon na dtimpistí intaifeadta a bhaineann leis an obair sa tréimhse tuairiscithe</t>
  </si>
  <si>
    <t>Numero di infortuni registrabili connessi al lavoro nel periodo di riferimento</t>
  </si>
  <si>
    <t>Registruotinų su darbu susijusių nelaimingų atsitikimų skaičius ataskaitiniame laikotarpyje</t>
  </si>
  <si>
    <t>Liczba podlegających zgłoszeniu wypadków związanych z pracą w okresie sprawozdawczym</t>
  </si>
  <si>
    <t>Número de acidentes relacionados com o trabalho passíveis de registo no período de relato</t>
  </si>
  <si>
    <t>Število zabeleženih nezgod pri delu v poročevalskem obdobju</t>
  </si>
  <si>
    <t>Número de accidentes de trabajo registrados en el período de informe</t>
  </si>
  <si>
    <t>template_label_number_of_hours_worked_by_one_fulltime_employee_in_the_reporting_period</t>
  </si>
  <si>
    <t>Number of hours worked by  one full-time employee in the reporting period</t>
  </si>
  <si>
    <t>Antal arbejdstimer for én fuldtidsansat i rapporteringsperioden</t>
  </si>
  <si>
    <t>Aantal uren gewerkt door één voltijdse werknemer in de  rapportageperiode</t>
  </si>
  <si>
    <t>Nombre d’heures travaillées par un salarié à temps plein au cours de l'année de référence</t>
  </si>
  <si>
    <t>Anzahl der von einem Vollzeitbeschäftigten im Berichtszeitraum geleisteten Arbeitsstunden</t>
  </si>
  <si>
    <t>Líon na n-uaireanta a d'oibrigh fostaí lánaimseartha amháin sa tréimhse tuairiscithe</t>
  </si>
  <si>
    <t>Ore lavorate da un dipendente a tempo pieno nel periodo di riferimento</t>
  </si>
  <si>
    <t>Dirbtų valandų skaičius vienam visą darbo laiką dirbančiam darbuotojui ataskaitiniame laikotarpyje</t>
  </si>
  <si>
    <t>Liczba godzin przepracowanych przez jednego pracownika zatrudnionego na pełen etat w okresie sprawozdawczym</t>
  </si>
  <si>
    <t>Número de horas trabalhadas por um empregado a tempo inteiro no período de relato</t>
  </si>
  <si>
    <t>Število ur, ki jih je v poročevalskem obdobju opravil en redno zaposleni</t>
  </si>
  <si>
    <t>Número de horas trabajadas por un empleado a tiempo completo en el período de informe</t>
  </si>
  <si>
    <t>template_label_total_number_of_hours_worked_in_a_year_by_all_employees_in_the_reporting_period</t>
  </si>
  <si>
    <t>Total number of hours worked in a year by all employees in the reporting period</t>
  </si>
  <si>
    <t>Samlet antal årlige arbejdstimer for alle ansatte i rapporteringsperioden</t>
  </si>
  <si>
    <t xml:space="preserve">Totaal aantal gewerkte uren in een jaar door alle werknemers in de rapportageperiode </t>
  </si>
  <si>
    <t>Nombre total d’heures travaillées en un an par l’ensemble des salariés pendant la période de reporting</t>
  </si>
  <si>
    <t>Gesamtanzahl der von allen Beschäftigten im Berichtszeitraum in einem Jahr geleisteten Arbeitsstunden</t>
  </si>
  <si>
    <t>Líon iomlán na n-uaireanta a d'oibrigh na fostaithe go léir sa tréimhse tuairiscithe sa tréimhse tuairiscithe i mbliain</t>
  </si>
  <si>
    <t>Numero totale di ore lavorate in un anno da tutti i dipendenti nel periodo di riferimento</t>
  </si>
  <si>
    <t>Visų darbuotojų per metus išdirbtų valandų bendras skaičius (ataskaitiniu laikotarpiu)</t>
  </si>
  <si>
    <t>Całkowita liczba godzin przepracowanych w ciągu roku przez wszystkich pracowników w okresie sprawozdawczym</t>
  </si>
  <si>
    <t>Número total de horas trabalhadas num ano por todos os trabalhadores no período de relato</t>
  </si>
  <si>
    <t>Skupno število ur, ki so jih v enem letu opravili vsi zaposleni v obdobju zaposlovanja</t>
  </si>
  <si>
    <t>Número total de horas trabajadas en un año por todos los empleados en el período de reporte</t>
  </si>
  <si>
    <t>template_label_rate_of_recordable_work_related_accidents_in_the_reporting_period</t>
  </si>
  <si>
    <t>Rate of recordable work-related accidents in the reporting period</t>
  </si>
  <si>
    <t>Antallet og andelen af registrerbare arbejdsrelaterede ulykker i rapporteringsperioden</t>
  </si>
  <si>
    <t xml:space="preserve">Percentage van registreerbare arbeidsongevallen in de rapportageperiode 
</t>
  </si>
  <si>
    <t>Taux d’accidents du travail comptabilisables pendant la période de reporting</t>
  </si>
  <si>
    <t>Quote der meldepflichtigen Arbeitsunfälle im Berichtszeitraum</t>
  </si>
  <si>
    <t>Ráta na dtimpistí intaifeadta a bhaineann leis an obair sa tréimhse tuairiscithe</t>
  </si>
  <si>
    <t>Tasso di infortuni registrabili connessi al lavoro nel periodo di riferimento</t>
  </si>
  <si>
    <t>Registruotinų su darbu susijusių nelaimingų atsitikimų dažnis ataskaitiniu laikotarpiu</t>
  </si>
  <si>
    <t>Wskaźnik podlegających zgłoszeniu wypadków związanych z pracą w okresie sprawozdawczym</t>
  </si>
  <si>
    <t>Taxa de acidentes relacionados com o trabalho passíveis de registo no período de relato</t>
  </si>
  <si>
    <t>Stopnja zabeleženih nezgod pri delu v poročevalskem obdobju</t>
  </si>
  <si>
    <t>Tasa de accidentes de trabajo registrables en el período de informe</t>
  </si>
  <si>
    <t>template_label_number_of_fatalities_as_a_result_of_work_related_injuries_and_work_related_ill_health</t>
  </si>
  <si>
    <t>Number of fatalities as a result of work-related injuries and work-related ill health</t>
  </si>
  <si>
    <t>Antal dødsfald som følge af arbejdsrelaterede skader og arbejdsrelateret dårligt helbred.</t>
  </si>
  <si>
    <t>Aantal dodelijke slachtoffers als gevolg van arbeidsongevallen  en beroepsziekten</t>
  </si>
  <si>
    <t>Nombre de décès dus à des accidents du travail et à des problèmes de santé liés au travail</t>
  </si>
  <si>
    <t>Zahl der Todesfälle infolge arbeitsbedingter Verletzungen und arbeitsbedingter Erkrankungen</t>
  </si>
  <si>
    <t>Líon na mbásanna de bharr gortuithe a bhaineann leis an obair agus drochshláinte a bhaineann leis an obair</t>
  </si>
  <si>
    <t>Numero di decessi dovuti a lesioni e malattie connesse al lavoro</t>
  </si>
  <si>
    <t>Mirčių dėl su darbu susijusių sužalojimų ir su darbu susijusių sveikatos sutrikimų skaičius</t>
  </si>
  <si>
    <t>Liczba ofiar śmiertelnych w wyniku urazów związanych z pracą i złego stanu zdrowia związanego z pracą</t>
  </si>
  <si>
    <t>Número de mortes devido a lesões relacionadas com o trabalho e a problemas de saúde relacionados com o trabalho</t>
  </si>
  <si>
    <t>Število smrtnih žrtev zaradi poškodb pri delu in zdravstvenih težav, povezanih z delom</t>
  </si>
  <si>
    <t>Número de muertes como consecuencia de lesiones y problemas de salud relacionados con el trabajo.</t>
  </si>
  <si>
    <t>template_label_b10_workforce_remuneration_collective_bargaining</t>
  </si>
  <si>
    <t>B10 - Workforce - Remuneration and collective bargaining</t>
  </si>
  <si>
    <t xml:space="preserve">B10 – Arbejdsstyrke – Vederlag og kollektive overenskomster
</t>
  </si>
  <si>
    <t>B10 — Personeel — Vergoeding en collectieve onderhandelingen</t>
  </si>
  <si>
    <t>B10 – Personnel – Rémunération et négociation collective</t>
  </si>
  <si>
    <t>B10 – Arbeitskräfte – Vergütung und Tarif-/Kollektivverhandlungen</t>
  </si>
  <si>
    <t>B10 – Lucht saothair – Luach saothair agus cómhargáil</t>
  </si>
  <si>
    <t>B10 – Forza lavoro – Retribuzione e contrattazione collettiva</t>
  </si>
  <si>
    <t>B10 – Sava darbo jėga – Atlyginimas ir kolektyvinės derybos</t>
  </si>
  <si>
    <t>B10 – Zasoby pracownicze – wynagrodzenie i rokowania zbiorowe</t>
  </si>
  <si>
    <t>B10 – Mão-de-obra – Remuneração e negociação coletiva</t>
  </si>
  <si>
    <t>B10 – Delovna sila – Plačna in Kolektivna pogajanja o plačah in usposabljanje</t>
  </si>
  <si>
    <t xml:space="preserve">B10 – Trabajadores – Retribución y negociación colectiva
</t>
  </si>
  <si>
    <t>template_label_employees_receive_pay_that_is_equal_or_above_applicable_minimum_wage</t>
  </si>
  <si>
    <t>Employees receive pay that is equal or above applicable minimum wage determined directly by the national minimum wage law or through a collective bargaining agreement</t>
  </si>
  <si>
    <t>Modtager de ansatte en løn, der er lig med eller højere end den gældende mindsteløn for det land, der rapporteres om? (Som fastsat direkte ved national llov om mindsteløn eller gennem en kollektiv overenskomst)</t>
  </si>
  <si>
    <t>Werknemers ontvangen een beloning die gelijk is aan of hoger is dan het toepasselijke minimumloon dat rechtstreeks wordt vastgesteld door de nationale minimumloonwet of via een collectieve arbeidsovereenkomst.</t>
  </si>
  <si>
    <t>Les salariés perçoivent une rémunération égale ou supérieure au salaire minimal applicable, déterminé directement par la législation nationale sur le salaire minimum ou par une convention collective.</t>
  </si>
  <si>
    <t>Beschäftigte erhalten eine Vergütung, die dem durch nationales Recht oder Tarifvertrag/Kollektivvertrag festgelegten Mindestlohn entspricht oder darüber liegt.</t>
  </si>
  <si>
    <t>Faigheann fostaithe pá atá comhionann nó os cionn an pá íosta is infheidhme arna chinneadh go díreach leis an dlí náisiúnta ar phá íosta nó trí chomhaontú cómhargála</t>
  </si>
  <si>
    <t>I dipendenti percepiscono una retribuzione pari o superiore al salario minimo applicabile, determinato direttamente dal diritto nazionale in matria di salario minimo o mediante contrattazione collettiva.</t>
  </si>
  <si>
    <t>Darbuotojai gauna užmokestį, kuris yra lygus arba didesnis už taikomą minimalųjį darbo užmokestį, nustatytą tiesiogiai pagal nacionalinį minimaliojo darbo užmokesčio įstatymą arba per kolektyvinę sutartį.</t>
  </si>
  <si>
    <t>Pracownicy otrzymują wynagrodzenie co najmniej równe obowiązującej płacy minimalnej, ustanowionej bezpośrednio na mocy krajowych przepisów dotyczących płacy minimalnej lub układu zbiorowego pracy</t>
  </si>
  <si>
    <t xml:space="preserve">Os trabalhadores recebem uma remuneração igual ou superior ao salário mínimo aplicável no país a que se refere o relatório, determinada diretamente pela legislação nacional sobre salário mínimo ou através de uma convenção coletiva de trabalho. 
</t>
  </si>
  <si>
    <t>Zaposleni prejemajo plačilo, ki je enako ali višje od veljavne minimalne plače, določene neposredno z nacionalnim zakonom o minimalni plači ali s kolektivno pogodbo.</t>
  </si>
  <si>
    <t>Los empleados reciben un sueldo que es igual o superior al salario mínimo aplicable determinado directamente por la ley nacional de salario mínimo o mediante un convenio colectivo.</t>
  </si>
  <si>
    <t>template_label_average_gross_hourly_pay_level_of_male_employees</t>
  </si>
  <si>
    <t>Average gross hourly pay level of male employees</t>
  </si>
  <si>
    <t>Gennemsnitlig bruttotimeløn for mandlige ansatte</t>
  </si>
  <si>
    <t>Gemiddeld bruto beloningsniveau per uur van mannelijke werknemers</t>
  </si>
  <si>
    <t>Rémunération horaire brute moyenne des salariés hommes</t>
  </si>
  <si>
    <t>Durchschnittliches Bruttostundenentgelt der männlichen Beschäftigten</t>
  </si>
  <si>
    <t>Ollphá fostaithe fireanna in aghaidh na huaire ar an meán</t>
  </si>
  <si>
    <t>Livello di retribuzione oraria lorda media dei dipendenti di sesso maschile</t>
  </si>
  <si>
    <t>Vidutinis darbuotojų vyrų valandinis užmokestis neatskaičius mokesčių</t>
  </si>
  <si>
    <t>Średni poziom godzinowego wynagrodzenia brutto pracowników płci męskiej</t>
  </si>
  <si>
    <t>Nível médio de remuneração horária bruta dos trabalhadores do sexo masculino</t>
  </si>
  <si>
    <t>Povprečna bruto urna postavka zaposlenih moških</t>
  </si>
  <si>
    <t>Nivel medio bruto de remuneración por hora de los empleados masculinos</t>
  </si>
  <si>
    <t>template_label_average_gross_hourly_pay_level_of_female_employees</t>
  </si>
  <si>
    <t>Average gross hourly pay level of female employees</t>
  </si>
  <si>
    <t>Gennemsnitlig bruttotimeløn for kvindelige ansatte</t>
  </si>
  <si>
    <t>Gemiddeld bruto beloningsniveau per uur van vrouwelijke werknemers</t>
  </si>
  <si>
    <t>Rémunération horaire brute moyenne des salariés femmes</t>
  </si>
  <si>
    <t>Durchschnittliches Bruttostundenentgelt der weiblichen Beschäftigten</t>
  </si>
  <si>
    <t>Ollphá fostaithe baineanna in aghaidh na huaire ar an meán</t>
  </si>
  <si>
    <t>Livello di retribuzione oraria lorda media dei dipendenti di sesso femminile</t>
  </si>
  <si>
    <t>Vidutinis darbuotojų moterų valandinis užmokestis neatskaičius mokesčių</t>
  </si>
  <si>
    <t>Średni poziom godzinowego wynagrodzenia brutto pracowników płci żeńskiej</t>
  </si>
  <si>
    <t>Nível médio de remuneração horária bruta dos trabalhadores do sexo feminino</t>
  </si>
  <si>
    <t>Povprečna bruto urna postavka zaposlenih žensk</t>
  </si>
  <si>
    <t>Nivel medio bruto de remuneración por hora de las empleadas</t>
  </si>
  <si>
    <t>template_label_percentage_gap_in_pay_between_the__undertakings_female_and_male_employees</t>
  </si>
  <si>
    <t>Percentage gap in pay between the  undertaking's female and male employees [%]</t>
  </si>
  <si>
    <t>Procentvis lønforskel mellem virksomhedens kvindelige og mandlige ansatte [%]</t>
  </si>
  <si>
    <t xml:space="preserve">
Procentueel verschil in beloning tussen vrouwelijke en mannelijke werknemers van de onderneming [%]
</t>
  </si>
  <si>
    <t>Écart de rémunération en pourcentage entre les salariés femmes et hommes de l'entreprise [%]</t>
  </si>
  <si>
    <t>Prozentuales Entgeltgefälle zwischen den weiblichen und männlichen Beschäftigten des Unternehmens [%]</t>
  </si>
  <si>
    <t xml:space="preserve">Bearna phá chéatadánach idir fostaithe baineanna agus fireanna </t>
  </si>
  <si>
    <t>Percentuale del divario retributivo tra dipendenti di sesso femminile e dipendenti di sesso maschile [%]</t>
  </si>
  <si>
    <t>Moterų ir vyrų darbuotojų atlygio skirtumas procentais [%]</t>
  </si>
  <si>
    <t>Luka płacowa między pracownikami płci żeńskiej i męskiej w ujęciu procentowym w jednostce [%]</t>
  </si>
  <si>
    <t>Disparidade percentual na remuneração entre os trabalhadores do sexo feminino e do sexo masculino  da empresa [%]</t>
  </si>
  <si>
    <t>Odstotna razlika v plačilu med zaposlenimi in zaposlenimi v podjetju [%]</t>
  </si>
  <si>
    <t>Porcentaje de brecha salarial entre las empleadas y los empleados de la empresa [%]</t>
  </si>
  <si>
    <t>template_label_number_of_employees_covered_by_collective_bargaining_agreements</t>
  </si>
  <si>
    <t>Number of employees covered by collective bargaining agreements</t>
  </si>
  <si>
    <t>Antal ansatte omfattet af kollektive overenskomster</t>
  </si>
  <si>
    <t>Aantal werknemers dat onder collectieve arbeidsovereenkomsten van</t>
  </si>
  <si>
    <t>Nombre de salariés couverts par des conventions collectives</t>
  </si>
  <si>
    <t>Anzahl der Beschäftigten, die durch Tarif-/Kollektivverträge abgedeckt sind</t>
  </si>
  <si>
    <t>Líon na bhfostaithe atá cumhdaithe ag comhaontuithe cómhargála</t>
  </si>
  <si>
    <t>Numero di dipendenti coperti da contratti collettivi</t>
  </si>
  <si>
    <t>Darbuotojų, kuriems taikomos kolektyvinės sutartys, skaičius</t>
  </si>
  <si>
    <t>Liczba pracowników objętych układami zbiorowymi pracy</t>
  </si>
  <si>
    <t>Número de trabalhadores abrangidos por convenções coletivas de trabalho</t>
  </si>
  <si>
    <t>Število zaposlenih, zajetih v kolektivnih pogodbah</t>
  </si>
  <si>
    <t>Número de empelados cubiertos por convenios de negociación colectiva</t>
  </si>
  <si>
    <t>template_label_percentage_of_employees_covered_by_collective_bargaining_agreements</t>
  </si>
  <si>
    <t>Percentage of employees covered by collective bargaining agreements [%]</t>
  </si>
  <si>
    <t>Procentdel af ansatte omfattet af kollektive overenskomster [%]</t>
  </si>
  <si>
    <t>Percentage van werknemers die onder collectieve arbeidsovereenkomsten vallen [%]</t>
  </si>
  <si>
    <t>Pourcentage des salariés couverts par des conventions collectives  [%]</t>
  </si>
  <si>
    <t>Prozentsatz der Beschäftigten, die durch Tarif-/Kollektivverträge abgedeckt sind [%]</t>
  </si>
  <si>
    <t>Céatadán na bhfostaithe a chumhdaítear ag comhaontuithe cómhargála [%]</t>
  </si>
  <si>
    <t>Percentuale di dipendenti coperti da contratti collettivi [%]</t>
  </si>
  <si>
    <t>Darbuotojų, kuriems taikomos kolektyvinės sutartys, procentinė dalis [%]</t>
  </si>
  <si>
    <t>Odsetek pracowników objętych układami zbiorowymi pracy [%]</t>
  </si>
  <si>
    <t>Percentagem de trabalhadores abrangidos por convenções coletivas de trabalho [%]</t>
  </si>
  <si>
    <t>Odstotek zaposlenih, ki jih pokrivajo kolektivne pogodbe [%]</t>
  </si>
  <si>
    <t>Porcentaje de empleados cubiertos por convenios de negociación colectiva [%]</t>
  </si>
  <si>
    <t>template_label_number_of_annual_training_hours_per_employee_during_the_reporting_period</t>
  </si>
  <si>
    <t>B10 - Workforce - Number of annual training hours per employee during the reporting period</t>
  </si>
  <si>
    <t>B10 – Arbejdsstyrke – Gennemsnitligt antal årlige uddannelsestimer pr. ansat i rapporteringsperioden</t>
  </si>
  <si>
    <t xml:space="preserve">B10 — Personeel — Gemiddeld aantal jaarlijkse trainingsuren per werknemer tijdens de rapportageperiode
</t>
  </si>
  <si>
    <t>B10 – Personnel – Nombre moyen d'heures annuelles de formation par salarié au cours de la période de reporting</t>
  </si>
  <si>
    <t>B10 – Arbeitskräfte – Anzahl der jährlichen Schulungsstunden je Beschäftigtem im Berichtszeitraum</t>
  </si>
  <si>
    <t>B10 – Lucht saothair –Líon na n-uaireanta oiliúna bliantúla in aghaidh an fhostaí le linn na tréimhse tuairiscithe</t>
  </si>
  <si>
    <t>B10 – Forza lavoro – Numero annuo di ore di formazione per dipendente durante il periodo di riferimento</t>
  </si>
  <si>
    <t>B10 – Sava darbo jėga – Vidutinis metinis mokymo valandų skaičius vienam darbuotojui ataskaitiniu laikotarpiu</t>
  </si>
  <si>
    <t>B10 – Zasoby pracownicze – Średnia liczba godzin szkoleń w ciągu roku na pracownika w okresie sprawozdawczym</t>
  </si>
  <si>
    <t>B10 – Mão-de-obra – Número médio de horas de formação anual por trabalhador durante o período de relato</t>
  </si>
  <si>
    <t>B10 – Število letnih ur usposabljanja na zaposlenega v obdobju usposabljanja</t>
  </si>
  <si>
    <t>B10 – Trabajadores – Número de horas anuales de formación por empleado durante el período de información</t>
  </si>
  <si>
    <t>template_label_average_number_of_annual_training_hours_per_employee</t>
  </si>
  <si>
    <t>Average number of annual training hours per employee</t>
  </si>
  <si>
    <t>Gennemsnitligt antal årlige uddannelsestimer pr. ansat</t>
  </si>
  <si>
    <t>Gemiddeld aantal jaarlijkse trainingsuren per werknemer</t>
  </si>
  <si>
    <t>Nombre moyen d’heures de formation annuelles par salarié</t>
  </si>
  <si>
    <t>Durchschnittliche Anzahl der jährlichen Schulungsstunden je Beschäftigtem</t>
  </si>
  <si>
    <t>Meánlíon uaireanta oiliúna bliantúla in aghaidh an fhostaí</t>
  </si>
  <si>
    <t>Numero medio annuo di ore di formazione per dipendente</t>
  </si>
  <si>
    <t>Vidutinis metinių mokymų valandų skaičius vienam darbuotojui</t>
  </si>
  <si>
    <t>Średnia liczba godzin szkoleń w ciągu roku na pracownika</t>
  </si>
  <si>
    <t>Número médio de horas anuais de formação por trabalhador</t>
  </si>
  <si>
    <t>Povprečno število letnih ur usposabljanja na zaposlenega</t>
  </si>
  <si>
    <t>Número medio anual de horas de formación por empleado</t>
  </si>
  <si>
    <t>template_label_c5_additional_workforce_characteristics</t>
  </si>
  <si>
    <t>C5 – Supplerende (generelle) oplysninger om arbejdsstyrken</t>
  </si>
  <si>
    <t>C5 – Aanvullende (algemene) kenmerken van het personeelsbestand</t>
  </si>
  <si>
    <t>C5 – Zusätzliche (allgemeine) Merkmale der Arbeitskräfte</t>
  </si>
  <si>
    <t>Saintréithe breise (ginearálta) den lucht saothair</t>
  </si>
  <si>
    <t>C5 - Papildomi (bendrieji) darbo jėgos rodikliai</t>
  </si>
  <si>
    <t>C5 – Características adicionais (gerais) da mão-de-obra</t>
  </si>
  <si>
    <t>C5 – Dodatne (splošne) značilnosti delovne sile</t>
  </si>
  <si>
    <t>template_label_number_of_male_employees_at_management_level</t>
  </si>
  <si>
    <t>Number of male employees at management level</t>
  </si>
  <si>
    <t>Antal mandlige ansatte på ledelsesniveau</t>
  </si>
  <si>
    <t>Aantal mannelijke werknemers op managementniveau</t>
  </si>
  <si>
    <t>Nombre de salariés hommes au niveau de la direction</t>
  </si>
  <si>
    <t>Anzahl männlicher Beschäftigter auf Führungsebene</t>
  </si>
  <si>
    <t>Líon na bhfostaithe fireann ag leibhéal bainistíochta</t>
  </si>
  <si>
    <t>Numero di dipendenti di sesso maschile a livello dirigenziale</t>
  </si>
  <si>
    <t>Vyrų darbuotojų skaičius vadovaujančiose pareigose</t>
  </si>
  <si>
    <t>Liczba pracowników płci męskiej wśród kadry zarządzającej</t>
  </si>
  <si>
    <t>Número de trabalhadores do sexo masculino ao nível dos quadros superiores</t>
  </si>
  <si>
    <t>Število moških zaposlenih na vodstveni ravni</t>
  </si>
  <si>
    <t>Número de empleados masculinos a nivel directivo</t>
  </si>
  <si>
    <t>template_label_number_of_female_employees_at_management_level</t>
  </si>
  <si>
    <t>Number of female employees at management level</t>
  </si>
  <si>
    <t>Antal kvindelige ansatte på ledelsesniveau</t>
  </si>
  <si>
    <t>Aantal vrouwelijke werknemers op managementniveau</t>
  </si>
  <si>
    <t>Nombre de salariés femmes au niveau de la direction</t>
  </si>
  <si>
    <t>Anzahl weiblicher Beschäftigter auf Führungsebene</t>
  </si>
  <si>
    <t>Líon na bhfostaithe ban ag leibhéal na bainistíochta</t>
  </si>
  <si>
    <t>Numero di dipendenti di sesso femminile a livello dirigenziale</t>
  </si>
  <si>
    <t>Morerų darbuotojų skaičius vadovaujančiose pareigose</t>
  </si>
  <si>
    <t>Liczba pracowników płci żeńskiej wśród kadry zarządzającej</t>
  </si>
  <si>
    <t>Número de trabalhadores do sexo feminino ao nível dos quadros superiores</t>
  </si>
  <si>
    <t>Število zaposlenih žensk na vodstveni ravni</t>
  </si>
  <si>
    <t>Número de empleadas a nivel directivo</t>
  </si>
  <si>
    <t>template_label_female_to_male_ratio_at_management_level_for_the_reporting_period</t>
  </si>
  <si>
    <t>Female-to-male ratio at management level for the reporting period</t>
  </si>
  <si>
    <t>Forholdet mellem kvinder og mænd på ledelsesniveau for rapporteringsperioden</t>
  </si>
  <si>
    <t>Verhouding vrouw-man op managementniveau  tijdens de rapportageperiode</t>
  </si>
  <si>
    <t>Ratio femmes/hommes au niveau de la direction pour la période de reporting</t>
  </si>
  <si>
    <t>Verhältnis weiblicher zu männlicher Beschäftiger auf Führungsebene im Berichtszeitraum</t>
  </si>
  <si>
    <t>Cóimheas idir mná agus fir ar an leibhéal bainistíochta don tréimhse tuairiscithe</t>
  </si>
  <si>
    <t>Rapporto tra donne e uomini a livello dirigenziale per il periodo di riferimento</t>
  </si>
  <si>
    <t>Vadovų/vadovaujančias pareigas einančių moterų ir vyrų santykis ataskaitiniu laikotarpiu</t>
  </si>
  <si>
    <t>Współczynnik płci wśród kadry zarządzającej w okresie sprawozdawczym</t>
  </si>
  <si>
    <t>Rácio de mulheres para homens ao nível dos quadros superiores durante o período de relato</t>
  </si>
  <si>
    <t>Razmerje med ženskami in moškimi na vodstveni ravni za obdobje poročanja</t>
  </si>
  <si>
    <t>Ratio mujeres/hombres a nivel directivo para el período de informe</t>
  </si>
  <si>
    <t>template_label_total_self_employed_workers_without_personnel_that_are_working_exclusively_for_the_undertaking</t>
  </si>
  <si>
    <t>Total self-employed workers without personnel that are working exclusively for the undertaking</t>
  </si>
  <si>
    <t>Samlet antal selvstændige uden personale, der udelukkende arbejder for virksomheden</t>
  </si>
  <si>
    <t>Totaal aantal zelfstandigen zonder personeel dat uitsluitend voor de onderneming werkt</t>
  </si>
  <si>
    <t>Total des travailleurs indépendants sans personnel qui travaillent exclusivement pour l’entreprise</t>
  </si>
  <si>
    <t>Gesamtanzahl der Selbstständigen, die ausschließlich für das Unternehmen tätig sind und kein eigenes Personal haben</t>
  </si>
  <si>
    <t>An líon daoine féinfhostaithe gan pearsanra atá ag obair go heisiach don ghnóthas</t>
  </si>
  <si>
    <t>Numero totale di lavoratori autonomi senza personale che lavorano esclusivamente per l'impresa</t>
  </si>
  <si>
    <t>Iš viso savarankiškai dirbančių (ne darbuotojų), dirbančių tik šiai įmonei, skaičius</t>
  </si>
  <si>
    <t>Całkowita liczba osób samozatrudnionych bez personelu, które pracują wyłącznie na rzecz jednostki</t>
  </si>
  <si>
    <t>Total de trabalhadores independentes sem pessoal que trabalham exclusivamente para a empresa</t>
  </si>
  <si>
    <t>Skupno število samozaposlenih brez osebja, ki delajo izključno za podjetje</t>
  </si>
  <si>
    <t>Total de trabajadores por cuenta propia sin personal que trabajan exclusivamente para la empresa</t>
  </si>
  <si>
    <t>template_label_total_temporary_workers_provided_by_undertakings_primarily_engaged_in_employment_activities</t>
  </si>
  <si>
    <t>Total temporary workers provided by undertakings primarily engaged in employment activities</t>
  </si>
  <si>
    <t>Antallet af vikarer, der stilles til rådighed af virksomheder, som primært udøver beskæftigelsesaktiviteter</t>
  </si>
  <si>
    <t>Totaal aantal tijdelijke arbeidskrachten, uitgezonden door ondernemingen die zich voornamelijk bezighouden met arbeidsbemiddeling en uitzendactiviteiten</t>
  </si>
  <si>
    <t>Total des travailleurs temporaires mis à disposition par des entreprises exerçant principalement des activités liées à l’emploi</t>
  </si>
  <si>
    <t>Gesamtanzahl der Zeitarbeitskräfte, die von Unternehmen bereitgestellt werden, die in erster Linie im Bereich der Vermittlung und Überlassung von Arbeitskräften tätig sind</t>
  </si>
  <si>
    <t>An líon iomlán oibrithe sealadacha arna gcur ar fáil ag gnóthais a bhíonn páirteach go príomha i ngníomhaíochtaí fostaíochta</t>
  </si>
  <si>
    <t>Numero totale di lavoratori temporanei messi a disposizione da imprese che esercitano principalmente attività di ricerca, selezione e fornitura di personale</t>
  </si>
  <si>
    <t>Iš viso darbuotojų, dirbančių per laikinojo įdarbinimo agentūras, skaičius</t>
  </si>
  <si>
    <t>Całkowita liczba pracowników tymczasowych zapewnionych przez jednostki prowadzące głównie działalność związaną z zatrudnieniem</t>
  </si>
  <si>
    <t>Total de trabalhadores temporários cedidos por empresas principalmente dedicadas a atividades de emprego</t>
  </si>
  <si>
    <t>Skupno število začasnih delavcev, ki jih zagotavljajo podjetja, ki se ukvarjajo predvsem z zaposlitvenimi dejavnostmi</t>
  </si>
  <si>
    <t>Total de trabajadores temporales proporcionados por empresas dedicadas principalmente a actividades de empleo</t>
  </si>
  <si>
    <t>template_label_c6_additional_own_workforce_information_human_rights_policies_and_processes</t>
  </si>
  <si>
    <t>C6 – Yderligere oplysninger om arbejdsstyrken – Menneskerettighedspolitikker og -processer</t>
  </si>
  <si>
    <t>C6 – Aanvullende informatie eigen personeel - Mensenrechtelijke beleidslijnen en processen</t>
  </si>
  <si>
    <t>C6 – Informations supplémentaires sur le personnel de l’entreprise – Politiques et procédures en matière de droits de l’homme</t>
  </si>
  <si>
    <t>C6 – Zusätzliche Informationen über die Arbeitskräfte des Unternehmens – Richtlinien für die Achtung der Menschenrechte und diesbezügliche Prozesse</t>
  </si>
  <si>
    <t>C6 – Faisnéis bhreise maidir lena lucht saothair féin - Beartais agus próisis um chearta an duine</t>
  </si>
  <si>
    <t>C6 – Altre informazioni sulla forza lavoro propria – Politiche e procedure in materia di diritti umani</t>
  </si>
  <si>
    <t>C6 – Papildoma savos darbo jėgos informacija – Žmogaus teisių politika ir procesai</t>
  </si>
  <si>
    <t>C6 – Informações adicionais sobre a própria mão-de-obra — Políticas e processos em matéria de direitos humanos</t>
  </si>
  <si>
    <t>C6 - Dodatne informacije o lastni delovni sili – politike in postopki na področju človekovih pravic</t>
  </si>
  <si>
    <t>template_label_does_the_undertaking_have_a_code_of_conduct_or_human_rights_policy_for_its_own_workforce</t>
  </si>
  <si>
    <t>Does the undertaking have a code of conduct or human rights policy for its own workforce?</t>
  </si>
  <si>
    <t>Har virksomheden en adfærdskodeks eller menneskerettighedspolitik for sin egen arbejdsstyrke?</t>
  </si>
  <si>
    <t>Beschikt de onderneming over een gedragscode of een mensenrechtenbeleid voor haar eigen personeel?</t>
  </si>
  <si>
    <t>L’entreprise dispose-t-elle d’un code de conduite ou d’une politique en matière de droits de l’homme pour son personnel ?</t>
  </si>
  <si>
    <t>Verfügt das Unternehmen über einen Verhaltenskodex oder Richtlinien für die Achtung der Menschenrechte bei seinen eigenen Arbeitskräften?</t>
  </si>
  <si>
    <t>An bhfuil cód iompair nó beartas um chearta an duine ag an ngnóthas dá lucht saothair féin?</t>
  </si>
  <si>
    <t>L'impresa dispone di un codice di condotta o di una politica in materia di diritti umani per la forza lavoro propria?</t>
  </si>
  <si>
    <t>Ar įmonė turi savos darbo jėgos elgesio kodeksą arba žmogaus teisių politiką?</t>
  </si>
  <si>
    <t>Czy jednostka posiada kodeks postępowania lub politykę dotyczącą praw człowieka dla własnych pracowników?</t>
  </si>
  <si>
    <t>A empresa dispõe de um código de conduta ou de uma política de direitos humanos para a sua própria mão-de-obra?</t>
  </si>
  <si>
    <t xml:space="preserve">Ali ima podjetje kodeks ravnanja oziroma politiko za področje človekovih pravic za lastno delovno silo? </t>
  </si>
  <si>
    <t>¿Dispone la empresa de un código de conducta o de una política de derechos humanos para su personal propio?</t>
  </si>
  <si>
    <t>template_label_if_yes_does_this_cover</t>
  </si>
  <si>
    <t>If yes does this cover:</t>
  </si>
  <si>
    <t xml:space="preserve">Hvis ja, dækker det: </t>
  </si>
  <si>
    <t>Indien ja, dekt dit het volgende:</t>
  </si>
  <si>
    <t>Si oui, cela couvre-t-il :</t>
  </si>
  <si>
    <t>Falls ja, sind folgende Aspekte abgedeckt:</t>
  </si>
  <si>
    <t>In caso affermativo, questo riguarda:</t>
  </si>
  <si>
    <t>Jei taip, ar tai apima:</t>
  </si>
  <si>
    <t>Jeśli tak, czy dokumenty te obejmują takie kwestie jak:</t>
  </si>
  <si>
    <t>Se sim, isso cobre:</t>
  </si>
  <si>
    <t>Če je odgovor pritrdilen, ali to zajema:</t>
  </si>
  <si>
    <t>Si es así, ¿cubriría esto:}</t>
  </si>
  <si>
    <t>template_label_child_labour</t>
  </si>
  <si>
    <t>child labour</t>
  </si>
  <si>
    <t>børnearbejde</t>
  </si>
  <si>
    <t>kinderarbeid</t>
  </si>
  <si>
    <t>travail des enfants</t>
  </si>
  <si>
    <t>Kinderarbeit</t>
  </si>
  <si>
    <t>Saothar leanaí</t>
  </si>
  <si>
    <t>Lavoro minorile</t>
  </si>
  <si>
    <t>Vaikų darbas</t>
  </si>
  <si>
    <t>praca dzieci</t>
  </si>
  <si>
    <t>trabalho infantil</t>
  </si>
  <si>
    <t>otroško delo</t>
  </si>
  <si>
    <t>trabajo infantil</t>
  </si>
  <si>
    <t>template_label_forced_labour</t>
  </si>
  <si>
    <t>forced labour</t>
  </si>
  <si>
    <t>tvangsarbejde</t>
  </si>
  <si>
    <t>dwangarbeid</t>
  </si>
  <si>
    <t>travail forcé</t>
  </si>
  <si>
    <t>Zwangsarbeit</t>
  </si>
  <si>
    <t>Saothar éignithe</t>
  </si>
  <si>
    <t>Lavoro forzato</t>
  </si>
  <si>
    <t>priverstinis darbas</t>
  </si>
  <si>
    <t>praca przymusowa</t>
  </si>
  <si>
    <t>trabalho forçado</t>
  </si>
  <si>
    <t>prisilno delo</t>
  </si>
  <si>
    <t>trabajo forzoso</t>
  </si>
  <si>
    <t>template_label_human_trafficking</t>
  </si>
  <si>
    <t>human trafficking</t>
  </si>
  <si>
    <t>Menneskehandel</t>
  </si>
  <si>
    <t>mensenhandel</t>
  </si>
  <si>
    <t>la traite des êtres humains</t>
  </si>
  <si>
    <t>Menschenhandel</t>
  </si>
  <si>
    <t>Gáinneáil ar Dhaoine</t>
  </si>
  <si>
    <t>tratta di esseri umani</t>
  </si>
  <si>
    <t>prekyba žmonėmis</t>
  </si>
  <si>
    <t>handel ludźmi</t>
  </si>
  <si>
    <t>tráfico de seres humanos</t>
  </si>
  <si>
    <t>trgovina z ljudmi</t>
  </si>
  <si>
    <t>trata de seres humanos</t>
  </si>
  <si>
    <t>template_label_discrimination</t>
  </si>
  <si>
    <t>discrimination</t>
  </si>
  <si>
    <t>Forskelsbehandling</t>
  </si>
  <si>
    <t>discriminatie</t>
  </si>
  <si>
    <t>Diskriminierung</t>
  </si>
  <si>
    <t>idirdhealú</t>
  </si>
  <si>
    <t>discriminazione</t>
  </si>
  <si>
    <t>diskriminacija</t>
  </si>
  <si>
    <t>dyskryminacja</t>
  </si>
  <si>
    <t>discriminação</t>
  </si>
  <si>
    <t>discriminación</t>
  </si>
  <si>
    <t>template_label_accident_prevention</t>
  </si>
  <si>
    <t>accident prevention</t>
  </si>
  <si>
    <t xml:space="preserve">Sikkerhed og forebyggelse af ulykker </t>
  </si>
  <si>
    <t>• ongevallenpreventie</t>
  </si>
  <si>
    <t>prévention des accidents</t>
  </si>
  <si>
    <t>Unfallverhütung</t>
  </si>
  <si>
    <t>timpistí a chosc</t>
  </si>
  <si>
    <t>Prevenzione degli infortuni</t>
  </si>
  <si>
    <t>nelaimingų atsitikimų prevencija</t>
  </si>
  <si>
    <t>zapobieganie wypadkom</t>
  </si>
  <si>
    <t>prevenção de acidentes</t>
  </si>
  <si>
    <t>preprečevanje nesreč</t>
  </si>
  <si>
    <t>prevención de accidentes</t>
  </si>
  <si>
    <t>template_label_other_if_yes_specify</t>
  </si>
  <si>
    <t>other? ( if yes specify)</t>
  </si>
  <si>
    <t>Andre? (hvis ja, angiv nærmere)</t>
  </si>
  <si>
    <t>"anders? (indien ja,  specificeer)"</t>
  </si>
  <si>
    <t>autre ? (si oui, veuillez préciser)</t>
  </si>
  <si>
    <t>Sonstige? (JA/NEIN – falls ja, ausführen)</t>
  </si>
  <si>
    <t>eile? ( má tá, sonraigh é)</t>
  </si>
  <si>
    <t>altro? (se sì, precisare)</t>
  </si>
  <si>
    <t>kita? (TAIP/NE; jei taip, nurodykite)</t>
  </si>
  <si>
    <t>inne kwestie? (TAK/NIE – jeśli tak, jakie?)</t>
  </si>
  <si>
    <t>outros? (SIM/NÃO — em caso afirmativo, especificar)</t>
  </si>
  <si>
    <t>drugo? (če da, navedite)</t>
  </si>
  <si>
    <t>otro? (en caso afirmativo especifique)</t>
  </si>
  <si>
    <t>template_label_specify_other_types_of_content_covered_by_the_code_of_conduct_or_human_rights_policy</t>
  </si>
  <si>
    <t>Specify other types of content covered by the code of conduct or human rights policy</t>
  </si>
  <si>
    <t>Angiv andre typer indhold, der omfattes af adfærdskodeksen eller menneskerettighedspolitikken</t>
  </si>
  <si>
    <t>Specificeer andere soorten inhoud die worden gedekt door de gedragscode of het mensenrechtenbeleid</t>
  </si>
  <si>
    <t>Spécifiez d'autres types de contenus couverts par le code de conduite ou la politique en matière de droits de l'homme</t>
  </si>
  <si>
    <t>Führen Sie sonstige Inhalte an, die vom Verhaltenskodex oder von Richtlinien für die Achtung der Menschenrechte abgedeckt sind</t>
  </si>
  <si>
    <t>Sonraigh cineálacha eile ábhair a chumhdaítear leis an gcód iompair nó leis an mbeartas um chearta an duine</t>
  </si>
  <si>
    <t>Specifica altri tipi di contenuti coperti dal codice di condotta o dalla politica in materia di diritti umani</t>
  </si>
  <si>
    <t>Nurodykite kitas temas / sritis, kurias apima elgesio kodeksas arba žmogaus teisių politika.</t>
  </si>
  <si>
    <t>Określ inne rodzaje treści objęte kodeksem postępowania lub polityką dotyczącą praw człowieka</t>
  </si>
  <si>
    <t>Especifique outros tipos de conteúdo abrangidos pelo código de conduta ou pela política de direitos humanos</t>
  </si>
  <si>
    <t>Navedite druge vrste vsebin, ki jih zajema kodeks ravnanja ali politika človekovih pravic</t>
  </si>
  <si>
    <t>Especifique otros tipos de contenido cubiertos por el código de conducta o la política de derechos humanos</t>
  </si>
  <si>
    <t>template_label_does_the_undertaking_have_a_complaint_handling_mechanism_for_its_own_workforce</t>
  </si>
  <si>
    <t>Does the undertaking have a complaint-handling mechanism for its own workforce?</t>
  </si>
  <si>
    <t>Har virksomheden en klagehåndteringsmekanisme for sine egne medarbejdere?</t>
  </si>
  <si>
    <t>Beschikt de onderneming over een klachtenafhandelingsmechanisme voor haar eigen personeel?</t>
  </si>
  <si>
    <t>L’entreprise dispose-t-elle d’un mécanisme de traitement des plaintes pour son personnel ? </t>
  </si>
  <si>
    <t>Verfügt das Unternehmen über ein Verfahren zur Bearbeitung von Beschwerden der eigenen Arbeitskräfte?</t>
  </si>
  <si>
    <t>An bhfuil sásra láimhseála gearán ag an ngnóthas dá lucht saothair féin?</t>
  </si>
  <si>
    <t>L'impresa dispone di un meccanismo di trattamento delle denunce per la forza lavoro propria?</t>
  </si>
  <si>
    <t>Ar yra įdiegtas skundų nagrinėjimo mechanizmas darbuotojams?</t>
  </si>
  <si>
    <t>Czy jednostka dysponuje mechanizmem rozpatrywania skarg dla własnych praconików?</t>
  </si>
  <si>
    <t>A empresa dispõe de um mecanismo de tratamento de reclamações para a sua própria mão-de-obra?</t>
  </si>
  <si>
    <t>Ali ima podjetje mehanizem za obravnavo pritožb za svoje zaposlene?</t>
  </si>
  <si>
    <t>¿Dispone la empresa de un mecanismo de gestión de reclamaciones para su personal propio?</t>
  </si>
  <si>
    <t>template_label_c7_severe_negative_human_rights_incidents</t>
  </si>
  <si>
    <t>C7 – Ernstige negatieve incidenten met betrekking tot mensenrechten</t>
  </si>
  <si>
    <t>C7 –   Schwerwiegende Vorfälle im Zusammenhang mit Menschenrechten</t>
  </si>
  <si>
    <t>C7 – Teagmhais ghéara do chearta an duine</t>
  </si>
  <si>
    <t>C7 – Incidenti gravi in materia di diritti umani</t>
  </si>
  <si>
    <t>C7 – Sunkūs neigiami žmogaus teisių pažeidimų atvejai</t>
  </si>
  <si>
    <t>C7 – Incidentes negativos graves em matéria de direitos humanos</t>
  </si>
  <si>
    <t>C7 – Resni incidenti v zvezi s človekovimi pravicami</t>
  </si>
  <si>
    <t>C7 – Incidentes graves negativos de derechos humanos</t>
  </si>
  <si>
    <t>template_label_does_the_undertaking_have_confirmed_incidents_in_its_own_workforce</t>
  </si>
  <si>
    <t>Does the undertaking have confirmed incidents in its own workforce?</t>
  </si>
  <si>
    <t>Har virksomheden bekræftede negative hændelser i sin egen arbejdsstyrke?</t>
  </si>
  <si>
    <t>Heeft de onderneming bevestigde incidenten  in haar eigen personeelsbestand?</t>
  </si>
  <si>
    <t>L'entreprise a-t-elle des incidents confirmés au sein de son personnel ?</t>
  </si>
  <si>
    <t>Sind unter den Arbeitskräften des Unternehmens bestätigte Vorfälle im Zusammenhang mit Menschenrechten aufgetreten?</t>
  </si>
  <si>
    <t>An bhfuil teagmhais dheimhnithe ag an ngnóthas dá lucht saothair féin?</t>
  </si>
  <si>
    <t>L'impresa ha confermato incidenti in seno alla forza lavoro propria?</t>
  </si>
  <si>
    <t>Ar įmonėje yra įvykę incidentų savo darbuotojų tarpe?</t>
  </si>
  <si>
    <t>Czy jednostka odnotowała potwierdzone incydenty dotyczące własnych pracowników?</t>
  </si>
  <si>
    <t>A empresa tem incidentes confirmados na sua própria mão-de-obra?</t>
  </si>
  <si>
    <t>Ali ima je podjetje potrdilo incidente pri lastni delovni sili?</t>
  </si>
  <si>
    <t>¿Ha confirmado la empresa incidentes entre su personal propio?</t>
  </si>
  <si>
    <t>template_label_if_yes_are_incidents_related_to</t>
  </si>
  <si>
    <t>If yes are incidents related to:</t>
  </si>
  <si>
    <t>Hvis ja, er hændelserne relateret til:</t>
  </si>
  <si>
    <t>Indien ja, zijn de incidenten gerelateerd aan:</t>
  </si>
  <si>
    <t>Si oui, les incidents sont-ils liés à :</t>
  </si>
  <si>
    <t>Falls ja, beziehen sich die Vorfälle auf:</t>
  </si>
  <si>
    <t>Má tá, an bhainneann na teagmhais le:</t>
  </si>
  <si>
    <t>In caso affermativo, gli incidenti sono correlati a:</t>
  </si>
  <si>
    <t>Jei taip, ar incidentai susiję su:</t>
  </si>
  <si>
    <t>Jeżeli tak, czy incydenty są związane z:</t>
  </si>
  <si>
    <t>Se sim, os incidentes estão relacionados com:</t>
  </si>
  <si>
    <t>Če je odgovor pritrdilen, so incidenti povezani z:</t>
  </si>
  <si>
    <t>Si es así, ¿los incidentes están relacionados con:}</t>
  </si>
  <si>
    <t>template_label_specify_other_human_rights_related_to_the_confirmed_incidents</t>
  </si>
  <si>
    <t>Specify other human rights related to the confirmed incidents</t>
  </si>
  <si>
    <t>Angiv andre bekræftede hændelser relateret til menneskerettigheder</t>
  </si>
  <si>
    <t>Specificeer andere mensenrechten die verband houden met de bevestigde incidenten</t>
  </si>
  <si>
    <t>Spécifiez d'autres droits de l’homme liés aux incidents confirmés</t>
  </si>
  <si>
    <t>Geben Sie sonstige im Zusammenhang mit den bestätigten Vorfällen stehende Menschenrechte an</t>
  </si>
  <si>
    <t>Sonraigh cearta daonna eile a bhaineann leis na heachtraí deimhnithe</t>
  </si>
  <si>
    <t>Specifica altri diritti umani relativi agli incidenti confermati</t>
  </si>
  <si>
    <t>Nurodykite kitas žmogaus teises, susijusias su įvykusiais incidentais.</t>
  </si>
  <si>
    <t>Określ inne prawa człowieka związane z potwierdzonymi incydentami</t>
  </si>
  <si>
    <t xml:space="preserve">Especifique outros direitos humanos relacionados com os incidentes confirmados
</t>
  </si>
  <si>
    <t>Navedite druge človekove pravice, povezane s potrjenimi incidenti</t>
  </si>
  <si>
    <t>Especifique otros derechos humanos relacionados con los incidentes confirmados</t>
  </si>
  <si>
    <t>template_label_description_of_actions_taken_to_address_the_confirmed_incidents</t>
  </si>
  <si>
    <t>Description of actions taken to address the confirmed incidents</t>
  </si>
  <si>
    <t xml:space="preserve">Beskrivelse af de foranstaltninger, der er truffet for at håndtere de bekræftede hændelser
</t>
  </si>
  <si>
    <t>Beschrijving van de acties die zijn ondernomen om de bevestigde incidenten aan te pakken</t>
  </si>
  <si>
    <t>Description des actions mises en œuvre pour gérer les incidents confirmés</t>
  </si>
  <si>
    <t>Beschreibung der Maßnahmen zur Behebung der bestätigten Vorfälle</t>
  </si>
  <si>
    <t>Cur síos ar na gníomhartha a rinneadh chun aghaidh a thabhairt ar na teagmhais dheimhnithe</t>
  </si>
  <si>
    <t>Descrizione delle azioni intraprese in risposta agli incidenti confermati</t>
  </si>
  <si>
    <t>Įvykusiems incidentams spręsti atliktų veiksmų aprašymas</t>
  </si>
  <si>
    <t>Opis działań podjętych w celu rozwiązania potwierdzonych incydentów</t>
  </si>
  <si>
    <t>Descrição das medidas tomadas para fazer face aos incidentes confirmados</t>
  </si>
  <si>
    <t>Opis ukrepov, sprejetih za obravnavo potrjenih incidentov</t>
  </si>
  <si>
    <t>Descripción de las actuaciones llevadas a cabo para abordar los incidentes confirmados</t>
  </si>
  <si>
    <t>template_label_is_the_undertaking_aware_of_any_confirmed_incidents_involving_workers</t>
  </si>
  <si>
    <t>Is the undertaking aware of any confirmed incidents involving workers in the value chain affected communities consumers and end-users?</t>
  </si>
  <si>
    <t>Er virksomheden bekendt med bekræftede hændelser, der involverer arbejdstagere i værdikæden, berørte samfund, forbrugere og slutbrugere?</t>
  </si>
  <si>
    <t>Is het ondernemingsbestuur op de hoogte van bevestigde incidenten waarbij werknemers in de waardeketen, getroffen gemeenschappen, consumenten en eindgebruikers betrokken zijn?</t>
  </si>
  <si>
    <t>L’entreprise a-t-elle connaissance d’incidents confirmés impliquant des travailleurs de la chaîne de valeur, des communautés affectées, des consommateurs et des utilisateurs finaux ?</t>
  </si>
  <si>
    <t xml:space="preserve">	
Sind dem Unternehmen bestätigte Vorfälle bekannt, an denen Arbeitskräfte in der Wertschöpfungskette, betroffene Gemeinschaften, Verbraucher und Endnutzer beteiligt sind? Falls ja, sind Einzelheiten in der nächsten Zeile anzugeben.</t>
  </si>
  <si>
    <t>An feasach don ghnóthas faoi aon teagmhas deimhnithe a bhain le hoibrithe sa slabhra luacha, pobail dá ndéantar difear, tomhaltóirí agus úsáideoirí deiridh?</t>
  </si>
  <si>
    <t>L'impresa è a conoscenza di incidenti confermati che coinvolgono lavoratori nella catena del valore, comunità interessate, consumatori e utilizzatori finali?</t>
  </si>
  <si>
    <t>Ar įmonei žinoma apie kokius nors įvykusius incidentus, susijusius su vertės grandinės darbuotojais, paveiktomis bendruomenėmis, vartotojais ir galutiniais naudotojais?</t>
  </si>
  <si>
    <t>Czy jednostka posiada wiedzę na temat jakichkolwiek potwierdzonych incydentów dotyczących osób wykonujących pracę w łańcuchu wartości, dotkniętych społeczności, konsumentów i użytkowników końcowych?</t>
  </si>
  <si>
    <t>A entidade tem conhecimento de algum incidente confirmado envolvendo trabalhadores na cadeia de valor, comunidades afetadas, consumidores e utilizadores finais?</t>
  </si>
  <si>
    <t>Ali je podjetje seznanjeno s kakršnimi koli potrjenimi incidenti, v katere so vpleteni delavci v vrednostni verigi, prizadete skupnosti, ali potrošniki in končni uporabniki?</t>
  </si>
  <si>
    <t>¿Está la empresa al tanto de algún incidente confirmado que involucre a trabajadores en la cadena de valor, comunidades afectadas, consumidores y usuarios finales?</t>
  </si>
  <si>
    <t>template_label_specification_of_any_confirmed_incident_involving_workers</t>
  </si>
  <si>
    <t>Specification of any confirmed incident involving workers in the value chain affected communities consumers and end-users</t>
  </si>
  <si>
    <t>Specifikation af enhver bekræftet hændelse, der involverer arbejdstagere i værdikæden, berørte lokalsamfund, forbrugere og slutbrugere</t>
  </si>
  <si>
    <t>Specificatie van elk bevestigd incident waarbij werknemers in de waardeketen, getroffen gemeenschappen, consumenten en eindgebruikers betrokken zijn</t>
  </si>
  <si>
    <t>Spécification de tout incident confirmé impliquant des travailleurs de la chaîne de valeur, des communautés affectées, des consommateurs et des utilisateurs finaux</t>
  </si>
  <si>
    <t>Erläuterung von bestätigten Vorfällen, an denen Arbeitskräfte in der Wertschöpfungskette, betroffene Gemeinschaften, Verbraucher und Endnutzer beteiligt sind</t>
  </si>
  <si>
    <t>Sonraíocht aon teagmhais dheimhnithe a bhaineann le hoibrithe sa slabhra luacha a bhfuil tionchar acu ar phobail, tomhaltóirí agus úsáideoirí deiridh</t>
  </si>
  <si>
    <t>Specificazione di eventuali incidenti confermati che coinvolgono lavoratori nella catena del valore, comunità interessate, consumatori e utilizzatori finali</t>
  </si>
  <si>
    <t>Bet kurio įvykusio incidento, susijusio su vertės grandinės darbuotojais, paveiktomis bendruomenėmis, vartotojais ir galutiniais naudotojais, aprašymas.</t>
  </si>
  <si>
    <t>Specyfikacja potwierdzonych incydentów dotyczących osób wykonujących pracę w łańcuchu wartości, dotkniętych społeczności, konsumentów i użytkowników końcowych</t>
  </si>
  <si>
    <t xml:space="preserve">Especificação de quaisquer incidentes confirmados envolvendo trabalhadores da cadeia de valor, comunidades afetadas, consumidores e utilizadores finais
</t>
  </si>
  <si>
    <t>Specifikacija vseh potrjenih incidentov, v katere so vpleteni delavci v vrednostni verigi, prizadete skupnosti, ali potrošniki in končni uporabniki?</t>
  </si>
  <si>
    <t>¿Tiene conocimiento la empresa de cualquier incidente confirmado en el que estén involucrados trabajadores de la cadena de valor, colectivos afectados, consumidores y usuarios finales? En caso afirmativo, especifíquese.</t>
  </si>
  <si>
    <t>template_label_disclosure_of_any_other_social_and_or_entity_specific_social_disclosures</t>
  </si>
  <si>
    <t>Disclosure of any other social and/or entity specific social disclosures</t>
  </si>
  <si>
    <t>Oplysninger om andre sociale og/eller virksomhedsspecifikke sociale oplysninger</t>
  </si>
  <si>
    <t xml:space="preserve">
 Rapportage van andere sociale en/of entiteitspecifieke sociale rapportages</t>
  </si>
  <si>
    <t>Publication de toute autre information sociale et/ ou spécifique à l'entité</t>
  </si>
  <si>
    <t>Angabe weiterer sozialer und/oder unternehmensspezifischer sozialer Angaben</t>
  </si>
  <si>
    <t>Nochtadh aon nochtaí sóisialta eile agus/nó sóisialta sonrach don ghnóthas</t>
  </si>
  <si>
    <t>Comunicazione di qualsiasi altra informativa sociale e/o specifica per soggetto</t>
  </si>
  <si>
    <t>Bet kokios kitos socialinės ir/ar įmonės specifinės socialinės informacijos atskleidimas</t>
  </si>
  <si>
    <t>Ujawnienie wszelkich innych ujawnień społecznych i/lub specyficznych dla jednostki ujawnień społecznych</t>
  </si>
  <si>
    <t>Divulgação de quaisquer outras informações de natureza social e/ou divulgações específicas de natureza social da empresa</t>
  </si>
  <si>
    <t>Razkritje vseh drugih družbenih in/ali za podjetje specifičnih družbenih razkritij</t>
  </si>
  <si>
    <t>Divulgación de cualquier otra información social y/o divulgaciones sociales específicas de la entidad</t>
  </si>
  <si>
    <t>template_label_b11_convictions_and_fines_for_corruption_and_bribery</t>
  </si>
  <si>
    <t xml:space="preserve">B11 – Veroordelingen en boetes voor corruptie en omkoping
</t>
  </si>
  <si>
    <t>B11 – Verurteilungen und Geldstrafen wegen Korruption und Bestechung</t>
  </si>
  <si>
    <t>B11 – Ciontuithe agus fíneálacha mar gheall ar éilliú agus breabaireacht</t>
  </si>
  <si>
    <t>B11 – Condanne e ammende per corruzione attiva e passiva</t>
  </si>
  <si>
    <t>B11 – Nuosprendžiai ir baudos už korupciją ir kyšininkavimą</t>
  </si>
  <si>
    <t>B11 – Condenações e multas por corrupção e suborno</t>
  </si>
  <si>
    <t>B11 – Obsodbe in globe za korupcijo in podkupovanje</t>
  </si>
  <si>
    <t>B11 — Condenas y multas por corrupción y soborno</t>
  </si>
  <si>
    <t>template_label_has_the_undertaking_incurred_in_convictions_and_fines_in_the_reporting_period</t>
  </si>
  <si>
    <t>Has the undertaking incurred in convictions and fines in the reporting period?</t>
  </si>
  <si>
    <t>Har virksomheden pådraget sig domme og bøder i rapporteringsperioden?</t>
  </si>
  <si>
    <t>Heeft de onderneming in de verslagperiode veroordelingen en boetes opgelopen?</t>
  </si>
  <si>
    <t>L'entreprise a-t-elle fait l'objet de condamnations et d'amendes au cours de la période de reporting ?</t>
  </si>
  <si>
    <t>Sind gegen das Unternehmen im Berichtszeitraum Verurteilungen erfolgt oder Geldstrafen verhängt worden?</t>
  </si>
  <si>
    <t>An ndearnadh ciontuithe agus fíneálacha ar an ngealltanas sa tréimhse tuairiscithe?</t>
  </si>
  <si>
    <t>L'impresa ha subito condanne e ammende nel periodo di riferimento?</t>
  </si>
  <si>
    <t>Ar įmonė buvo apkaltinta ir nubausta ataskaitiniu laikotarpiu?</t>
  </si>
  <si>
    <t>Czy jednostka otrzymała wyroki skazujące lub podlegała grzywnom w okresie sprawozdawczym?</t>
  </si>
  <si>
    <t>A entidade incorreu em condenações e multas no período de reporte?</t>
  </si>
  <si>
    <t>Ali je podjetje v poročevalskem obdobju utrpelo obsodbe in globe?</t>
  </si>
  <si>
    <t>¿La empresa ha incurrido en condenas y multas en el período de referencia?</t>
  </si>
  <si>
    <t>template_label_total_number_of_convictions_for_the_violation_of_anti_corruption_and_anti_bribery_laws</t>
  </si>
  <si>
    <t>Total number of convictions  for the violation of anti-corruption and anti-bribery laws</t>
  </si>
  <si>
    <t>Samlet antal domme for overtrædelse af  love om bekæmpelse af korruption og bestikkelse</t>
  </si>
  <si>
    <t xml:space="preserve">Totaal aantal veroordelingen voor overtreding van de anti-corruptie- en anti-omkopingswetten
</t>
  </si>
  <si>
    <t>Nombre total de condamnations pour infraction à la législation sur la lutte contre la corruption et les actes de corruption</t>
  </si>
  <si>
    <t>Gesamtzahl der Verurteilungen wegen Verstößen gegen Rechtsvorschriften zur Bekämpfung von Korruption und Bestechung</t>
  </si>
  <si>
    <t>Líon iomlán na gciontuithe as sárú dlíthe frith-éillithe agus frith-bhreabaireachta</t>
  </si>
  <si>
    <t>Numero totale delle condanne per violazione delle leggi in materia di lotta alla corruzione passiva e attiva</t>
  </si>
  <si>
    <t>Bendras nuobaudų skaičius už korupcijos ir kyšininkavimo įstatymų pažeidimus</t>
  </si>
  <si>
    <t>Całkowita liczba wyroków skazujących za naruszenie przepisów antykorupcyjnych i przepisów w sprawie zwalczania przekupstwa</t>
  </si>
  <si>
    <t>Número total de condenações por violação das leis anticorrupção e antissuborno</t>
  </si>
  <si>
    <t>Skupno število obsodb zaradi kršitev zakonodaje o proti-korupciji in podkupovanju</t>
  </si>
  <si>
    <t>Número total de condenas por infracción de las leyes anticorrupción y antisoborno</t>
  </si>
  <si>
    <t>template_label_total_amount_of_fines_for_the_violation_of_anti_corruption_and_anti_bribery_laws</t>
  </si>
  <si>
    <t>Total amount of fines for the violation of anti-corruption and anti-bribery laws</t>
  </si>
  <si>
    <t>Samlet bødebeløb for overtrædelse af love om bekæmpelse af korruption og bestikkelse</t>
  </si>
  <si>
    <t xml:space="preserve">Totaalbedrag aan boetes voor overtreding van anti-corruptie- en anti-omkopingswetten
</t>
  </si>
  <si>
    <t>Montant total des amendes pour infraction à la législation sur la lutte contre la corruption et les actes de corruption</t>
  </si>
  <si>
    <t>Gesamtbetrag der Geldstrafen wegen Verstößen gegen Rechtsvorschriften zur Bekämpfung von Korruption und Bestechung</t>
  </si>
  <si>
    <t>Méid iomlán na bhfíneálacha as sárú ar dhlíthe frith-éillithe agus frith-bhreabaireachta</t>
  </si>
  <si>
    <t>Importo complessivo delle ammende in cui è incorsa per violazione delle leggi in materia di lotta alla corruzione passiva e attiva</t>
  </si>
  <si>
    <t>Baudų suma už korupcijos ir kyšininkavimo įstatymų pažeidimus</t>
  </si>
  <si>
    <t>Całkowita kwota grzywien za naruszenie przepisów antykorupcyjnych i przepisów w sprawie zwalczania przekupstwa</t>
  </si>
  <si>
    <t>Montante total das multas por violação das leis anticorrupção e antissuborno</t>
  </si>
  <si>
    <t>Skupni znesek glob za kršitve zakonodaje o korupciji in podkupovanju</t>
  </si>
  <si>
    <t>Importe total de las multas por infringir las leyes anticorrupción y antisoborno.</t>
  </si>
  <si>
    <t>template_label_c8_revenues_from_certain_sectors</t>
  </si>
  <si>
    <t>C8 - Revenues from certain activities</t>
  </si>
  <si>
    <t>C8 – Indtægter fra bestemte aktiviteter</t>
  </si>
  <si>
    <t>C8 — Ontvangsten uit bepaalde activiteiten</t>
  </si>
  <si>
    <t>C8 – Chiffre d’affaires de certains secteurs</t>
  </si>
  <si>
    <t>C8 – Umsatzerlöse aus bestimmten Tätigkeiten</t>
  </si>
  <si>
    <t>C8 – Ioncam ó ghníomhaíochtaí áirithe</t>
  </si>
  <si>
    <t>C8 – Ricavi da determinate attività</t>
  </si>
  <si>
    <t>C8 – Pajamos iš tam tikrų veiklų</t>
  </si>
  <si>
    <t>C8 – Przychody z niektórych rodzajów działalności</t>
  </si>
  <si>
    <t>C8 – Rédito de determinadas atividades</t>
  </si>
  <si>
    <t>C8 – Prihodki od nekaterih dejavnosti</t>
  </si>
  <si>
    <t>C8 – Ingresos de determinadas actividades</t>
  </si>
  <si>
    <t>template_label_is_the_undertaking_deriving_revenues_from_one_of_the_activities_listed_below</t>
  </si>
  <si>
    <t>Is the undertaking deriving revenues from one of the activities listed below?</t>
  </si>
  <si>
    <t>Har virksomheden relaterede indtægter fra én eller flere af nedenstående aktiviteter?</t>
  </si>
  <si>
    <t xml:space="preserve"> Verkrijgt de onderneming inkomsten  uit een van de hieronder vermelde activiteiten?</t>
  </si>
  <si>
    <t>L’entreprise réalise-t-elle des revenus à partir de l’une des activités listées ci-dessous ?</t>
  </si>
  <si>
    <t>Erzielt das Unternehmen Umsatzerlöse aus einer der unten aufgeführten Tätigkeiten?</t>
  </si>
  <si>
    <t>An bhfuil ioncam á fháil ag an ngnóthas ó cheann de na gníomhaíochtaí atá liostaithe thíos?</t>
  </si>
  <si>
    <t>L'impresa genera ricavi da una delle attività elencate di seguito?</t>
  </si>
  <si>
    <t>Ar įmonė gauna pajamas iš vienos iš žemiau išvardytų veiklų?</t>
  </si>
  <si>
    <t xml:space="preserve">Czy jednostka uzyskuje przychody z jednej z poniżej wymienionych działalności? </t>
  </si>
  <si>
    <t>A entidade obtém rédito de uma das atividades listadas abaixo?</t>
  </si>
  <si>
    <t>Ali podjetje ustvarja prihodke iz ene od spodaj naštetih dejavnosti?</t>
  </si>
  <si>
    <t>¿La empresa obtiene ingresos de una de las actividades enumeradas a continuación?</t>
  </si>
  <si>
    <t>template_label_monetary_amount_in</t>
  </si>
  <si>
    <t>Monetary amount in</t>
  </si>
  <si>
    <t>Monetært beløb i</t>
  </si>
  <si>
    <t>Monetair bedrag in</t>
  </si>
  <si>
    <t>Montant monétaire en</t>
  </si>
  <si>
    <t>An tsuim airgeadaíochta i</t>
  </si>
  <si>
    <t>Importo monetario in</t>
  </si>
  <si>
    <t>Piniginė suma (Eurais)</t>
  </si>
  <si>
    <t>Kwota pieniężna w</t>
  </si>
  <si>
    <t>Montante monetário em</t>
  </si>
  <si>
    <t>Denarni znesek v</t>
  </si>
  <si>
    <t>Importe monetario en</t>
  </si>
  <si>
    <t>template_label_revenue_derived_from_controversial_weapons</t>
  </si>
  <si>
    <t>Revenue derived from controversial weapons (anti-personnel mines cluster munitions chemical weapons and biological weapons)</t>
  </si>
  <si>
    <t>Indtægter fra kontroversielle våben (personelminer, klyngeammunition, kemiske våben og biologiske våben)</t>
  </si>
  <si>
    <t>Omzet afkomstig van controversiële wapens (antipersoonsmijnen, clustermunitie, chemische wapens en biologische wapens)</t>
  </si>
  <si>
    <t>Chiffre d'affaires réalisé à partir des armes controversées (mines antipersonnel, armes à sous-munitions, armes chimiques et armes biologiques)</t>
  </si>
  <si>
    <t>Umsatzerlöse aus umstrittenen Waffen (Antipersonenminen, Streumunition, chemische und biologische Waffen)</t>
  </si>
  <si>
    <t>Ioncam a fhaightear ó airm chonspóideacha (mianaigh frithphearsanra, cnuas-mhuinisin, airm cheimiceacha agus airm bhitheolaíocha)</t>
  </si>
  <si>
    <t>Ricavi derivanti da armi controverse (mine antiuomo, munizioni a grappolo, armi chimiche e armi biologiche)</t>
  </si>
  <si>
    <t>Pajamos, gautos iš prieštaringai vertinamų ginklų (pėstininkų minų, kasetinių sprogstamųjų užtaisų, cheminių ir biologinių ginklų).</t>
  </si>
  <si>
    <t>Przychody z kontrowersyjnych rodzajów broni (miny przeciwpiechotne, amunicja kasetowa, broń chemiczna i broń biologiczna)</t>
  </si>
  <si>
    <t>Rédito derivado de armas controversas (minas antipessoais, munições de fragmentação, armas químicas e armas biológicas)</t>
  </si>
  <si>
    <t>Prihodki od spornega orožja (protipehotne mine, kasetno strelivo, kemično orožje in biološko orožje)</t>
  </si>
  <si>
    <t>Ingresos derivados de armas controvertidas (minas antipersona, municiones en racimo, armas químicas y armas biológicas)</t>
  </si>
  <si>
    <t>template_label_revenue_derived_from_cultivation_and_production_of_tobacco</t>
  </si>
  <si>
    <t>Revenue derived from cultivation and production of tobacco</t>
  </si>
  <si>
    <t>Indtægter fra dyrkning og produktion af tobak</t>
  </si>
  <si>
    <t xml:space="preserve">Inkomsten  uit de teelt en productie van tabak
</t>
  </si>
  <si>
    <t>Chiffre d'affaires réalisé à partir de la culture et la production de tabac</t>
  </si>
  <si>
    <t>Umsatzerlöse aus dem Anbau und der Produktion von Tabak</t>
  </si>
  <si>
    <t>Ioncam a fhaightear ó shaothrú agus ó tháirgeadh tobac</t>
  </si>
  <si>
    <t>Ricavi derivanti dalla coltivazione e produzione di tabacco</t>
  </si>
  <si>
    <t xml:space="preserve">Pajamos, gautos iš tabako auginimo ir gamybos
</t>
  </si>
  <si>
    <t>Przychody z uprawy i produkcji tytoniu</t>
  </si>
  <si>
    <t>Rédito proveniente do cultivo e produção de tabaco</t>
  </si>
  <si>
    <t>Prihodki od gojenja in proizvodnje tobaka</t>
  </si>
  <si>
    <t>Ingresos derivados del cultivo y la producción de tabaco</t>
  </si>
  <si>
    <t>template_label_revenue_derived_from_coal</t>
  </si>
  <si>
    <t>Revenue derived from coal</t>
  </si>
  <si>
    <t xml:space="preserve">Indtægter fra fossile brændstoffer: Kul </t>
  </si>
  <si>
    <t xml:space="preserve"> Inkomsten uit kolen</t>
  </si>
  <si>
    <t>Chiffre d'affaires réalisé à partir du charbon</t>
  </si>
  <si>
    <t>Umsatzerlöse aus Kohle</t>
  </si>
  <si>
    <t>Ioncam ó ghual</t>
  </si>
  <si>
    <t>Ricavi derivanti dal carbone</t>
  </si>
  <si>
    <t>Pajamos iš anglių</t>
  </si>
  <si>
    <t>Przychody z węgla</t>
  </si>
  <si>
    <t>Rédito derivado do carvão</t>
  </si>
  <si>
    <t>Prihodki od premoga</t>
  </si>
  <si>
    <t>Ingresos derivados del carbón</t>
  </si>
  <si>
    <t>template_label_revenue_derived_from_oil</t>
  </si>
  <si>
    <t>Revenue derived from oil</t>
  </si>
  <si>
    <t>Indtægter fra fossile brændstoffer: Olie</t>
  </si>
  <si>
    <t xml:space="preserve"> Inkomsten uit olie</t>
  </si>
  <si>
    <t>Chiffre d'affaires réalisé à partir du pétrole</t>
  </si>
  <si>
    <t>Umsatzerlöse aus Erdöl</t>
  </si>
  <si>
    <t>Ioncam ó ola</t>
  </si>
  <si>
    <t>Ricavi derivanti dal petrolio</t>
  </si>
  <si>
    <t>Pajamos, gautos iš naftos</t>
  </si>
  <si>
    <t>Przychody z ropy naftowej</t>
  </si>
  <si>
    <t>Rédito derivado do petróleo</t>
  </si>
  <si>
    <t>Prihodki od nafte</t>
  </si>
  <si>
    <t>Ingresos derivados del petróleo</t>
  </si>
  <si>
    <t>template_label_revenue_derived_from_gas</t>
  </si>
  <si>
    <t>Revenue derived from gas</t>
  </si>
  <si>
    <t>Indtægter fra fossile brændstoffer: Gas</t>
  </si>
  <si>
    <t xml:space="preserve">Inkomsten uit gas
</t>
  </si>
  <si>
    <t>Chiffre d'affaires réalisé à partir du gaz</t>
  </si>
  <si>
    <t>Umsatzerlöse aus Erdgas</t>
  </si>
  <si>
    <t>Ioncam ó ghás</t>
  </si>
  <si>
    <t>Ricavi derivanti dal gas</t>
  </si>
  <si>
    <t>Pajamos, gautos iš dujų</t>
  </si>
  <si>
    <t>Przychody z gazu</t>
  </si>
  <si>
    <t>Rèdito derivado do gás</t>
  </si>
  <si>
    <t>Prihodki od plina</t>
  </si>
  <si>
    <t>Ingresos derivados del gas</t>
  </si>
  <si>
    <t>template_label_total_revenues_derived_from_fossil_fuel_sector</t>
  </si>
  <si>
    <t>Total revenues derived from fossil fuel (coal oil and gas) sector (i.e. the undertaking derives revenues from exploration mining extraction production processing storage refining or distribution including transportation storage and trade of fossil fuels as defined in Article 2 point (62) of Regulation (EU) 2018 1999 of the European Parliament and the Council)</t>
  </si>
  <si>
    <t>Samlede indtægter, der stammer fra fossile brændstoffer (kul, olie og gas) sektoren (dvs. virksomheden opnår indtægter fra udforskning, minedrift, udvinding, produktion, forarbejdning, opbevaring, raffinering eller distribution, inklusive transport, opbevaring og handel med fossile brændstoffer som defineret i artikel 2, punkt (62), i forordning (EU) 2018/1999 fra Europa-Parlamentet og Rådet)</t>
  </si>
  <si>
    <t>Totale  inkomsten afkomstig uit de sector fossiele brandstoffen (kolen, olie en gas) (d.w.z. dat de onderneming inkomsten verkrijgt uit exploratie, ontginning, winning, productie, verwerking, opslag, raffinage of distributie, inclusief vervoer, opslag en handel van fossiele brandstoffen zoals gedefinieerd in artikel 2 punt (62) van Verordening (EU) 2018/1999 van het Europees Parlement en de Raad)</t>
  </si>
  <si>
    <t xml:space="preserve">	
Chiffre d'affaire total réalisé à partir du secteur des combustibles fossiles (charbon, pétrole et gaz) [c’est-à-dire qu'elle réalise un chiffre d'affaires sur la prospection, l’exploitation minière, l’extraction, la production, la transformation, le stockage, le raffinage ou la distribution, y compris le transport, l’entreposage et le commerce, de combustibles fossiles au sens de l’article 2, point 62), du règlement (UE) 2018/1999 du Parlement européen et du Conseil </t>
  </si>
  <si>
    <t>Gesamtumsatzerlöse aus dem Sektor der fossilen Brennstoffe wie Kohle, Erdöl und Erdgas  (d. h. das Unternehmen erzielt Umsatzerlöse aus der Exploration, Förderung, Gewinnung, Herstellung, Verarbeitung, Lagerung, Raffination oder dem Vertrieb, einschließlich Transport, Lagerung und Handel, von fossilen Brennstoffen im Sinne des Artikels 2 Nummer 62 der Verordnung (EU) 2018/1999 des Europäischen Parlaments und des Rates</t>
  </si>
  <si>
    <t>Ioncam iomlán a dhíorthaítear ó earnáil an bhreosla iontaise (gual, ola agus gás) (i.e. díorthaíonn an gnóthas ioncam ó thaiscéalaíocht, mianadóireacht, eastóscadh, táirgeadh, próiseáil, stóráil, scagadh nó dáileadh, lena n-áirítear iompar, stóráil agus trádáil breoslaí iontaise mar a shainmhínítear in Airteagal 2, pointe (62) de Rialachán (AE) 2018, 1999 ó Pharlaimint na hEorpa agus ón gComhairle)</t>
  </si>
  <si>
    <t>Ricavi totali derivanti dal settore dei combustibili fossili (carbone, petrolio e gas) (vale a dire che l'impresa genera proventi dalla prospezione, dall'estrazione, dalla produzione, dalla trasformazione, dallo stoccaggio, dalla raffinazione o dalla distribuzione, compresi il trasporto, lo stoccaggio e il commercio di combustibili fossili quali definiti all'articolo 2, punto 62, del regolamento (UE) 2018/1999 del Parlamento europeo e del Consiglio)</t>
  </si>
  <si>
    <t xml:space="preserve">Visos pajamos, gautos iš iškastinio kuro (anglių, naftos ir dujų) sektoriaus (t. y. įmonė gauna pajamas iš iškastinio kuro, apibrėžto Europos Parlamento ir Tarybos reglamento (ES) 2018/1999 2 straipsnio 62 punkte, žvalgymo, kasybos, gavybos, gamybos, apdorojimo, saugojimo, perdirbimo arba platinimo, įskaitant transportavimą, saugojimą ir prekybą) .
</t>
  </si>
  <si>
    <t>Całkowite przychody z sektora paliw kopalnych (węgiel, ropa i gaz) (tj. jednostka osiąga przychody z działalności związanej z poszukiwaniem, górnictwem, wydobyciem, produkcją, przetwarzaniem, magazynowaniem, rafinacją lub dystrybucją, w tym transportem i magazynowaniem, paliw kopalnych zdefiniowanych w art. 2 pkt 62 rozporządzenia Parlamentu Europejskiego i Rady (UE) 2018/1999 oraz handlem tymi paliwami)</t>
  </si>
  <si>
    <t>Rèdito total derivado do setor de combustíveis fósseis (carvão, petróleo e gás) (ou seja, a entidade obtém receitas da exploração, mineração, extração, produção, processamento, armazenamento, refinação ou distribuição, incluindo o transporte, armazenamento e comércio de combustíveis fósseis conforme definido no artigo 2.º, ponto (62), do Regulamento (UE) 2018/1999 do Parlamento Europeu e do Conselho)</t>
  </si>
  <si>
    <t>Skupni prihodki iz sektorja fosilnih goriv (premog, nafta in plin) (tj. podjetje prejema prihodke od raziskovanja, rudarstva, pridobivanja, proizvodnje, predelave, skladiščenja, rafiniranja ali distribucije, vključno s prevozom, skladiščenjem in trgovino s fosilnimi gorivi, kot je opredeljeno v točki (62) člena 2 Uredbe (EU) 2018/1999 Evropskega parlamenta in Sveta)</t>
  </si>
  <si>
    <t>Ingresos totales derivados del sector de los combustibles fósiles (carbón, petróleo y gas) [es decir, la empresa obtiene ingresos de la exploración,la extracción, la producción, la transformación, el almacenamiento, el refinado o la distribución, incluidos el transporte, el almacenamiento y la comercialización, de combustibles fósiles, tal como se definen en el artículo 2, apartado 62, del Reglamento (UE) 2018/1999 del Parlamento Europeo y del Consejo] .</t>
  </si>
  <si>
    <t>template_label_revenue_derived_from_chemicals_production</t>
  </si>
  <si>
    <t>Revenue derived from chemicals production</t>
  </si>
  <si>
    <t>Indtægter fra kemikalieproduktion</t>
  </si>
  <si>
    <t xml:space="preserve"> Inkomsten uit de productie van chemische stoffen</t>
  </si>
  <si>
    <t>Chiffre d'affaires réalisé à partir de la production de produits chimiques</t>
  </si>
  <si>
    <t>Umsatzerlöse aus der Herstellung von Chemikalien</t>
  </si>
  <si>
    <t>Ioncam a dhíorthaítear ó tháirgeadh ceimiceán</t>
  </si>
  <si>
    <t>Ricavi derivanti dalla produzione di sostanze chimiche</t>
  </si>
  <si>
    <t>Pajamos, gautos iš cheminių medžiagų gamybos</t>
  </si>
  <si>
    <t>Przychody z produkcji chemikaliów</t>
  </si>
  <si>
    <t>Rèdito derivado da produção de produtos químicos</t>
  </si>
  <si>
    <t>Prihodki od proizvodnje kemikalij</t>
  </si>
  <si>
    <t>Ingresos derivados de la producción de productos químicos</t>
  </si>
  <si>
    <t>template_label_c8_exclusion_from_eu_reference_benchmarks</t>
  </si>
  <si>
    <t>C8 - Exclusion from EU reference benchmarks</t>
  </si>
  <si>
    <t>C8 – Udelukkelse fra EU-referencebenchmarks</t>
  </si>
  <si>
    <t>C8 – Uitsluiting van EU-referentiebenchmarks</t>
  </si>
  <si>
    <t>C8 - Exclusion des indices de référence de l’Union européenne</t>
  </si>
  <si>
    <t>C8 –  Ausnahme von EU-Referenzwerten</t>
  </si>
  <si>
    <t>C8 – Eisiamh ó thagarmharcanna tagartha AE</t>
  </si>
  <si>
    <t>C8 – Esclusione dagli indici di riferimento dell'UE</t>
  </si>
  <si>
    <t>C8 – Neįtraukimas į ES lyginamuosius etalonus</t>
  </si>
  <si>
    <t>C8 – Wykluczenie z unijnych wskaźników referencyjnych</t>
  </si>
  <si>
    <t>C8 – Exclusão dos índices de referência da UE</t>
  </si>
  <si>
    <t>C8 – Izključitev iz referenčnih vrednosti EU</t>
  </si>
  <si>
    <t>C8 – Exclusión de los índices de referencia de la UE</t>
  </si>
  <si>
    <t>template_label_undertakings_are_excluded_from_the_eu_paris_aligned_benchmarks_if_they_derive</t>
  </si>
  <si>
    <t>Undertakings are excluded from the EU Paris-aligned Benchmarks if they  derive:</t>
  </si>
  <si>
    <t>Virksomheder overskrider EU’s Paris-alignerede benchmarks, hvis:</t>
  </si>
  <si>
    <t>Ondernemingen worden uitgesloten van de op de Overeenkomst van Parijs afgestemde EU-benchmarks indien zij :</t>
  </si>
  <si>
    <t>Les entreprises sont exclues des indices de référence « accord de Paris » de l'Union européenne si elles tirent :</t>
  </si>
  <si>
    <t>Unternehmen werden von den Paris-abgestimmten EU-Referenzwerten ausgeschlossen, wenn sie:</t>
  </si>
  <si>
    <t>Déantar gnóthais a eisiamh ó Thagarmharcanna AE atá ailínithe le Comhaontú Páras más rud é go ndíorthaíonn siad:</t>
  </si>
  <si>
    <t>Le imprese escluse dagli indici di riferimento UE allineati con l'accordo di Parigi sono le seguenti:</t>
  </si>
  <si>
    <t>Įmonės yra neįtraukiamos į ES Paryžiaus susitarimui pritaikytus etalonus, jei jos gauna pajamas iš:</t>
  </si>
  <si>
    <t>Jednostki są wyłączone z unijnych wskaźników referencyjnych dostosowanych do porozumienia paryskiego, jeżeli uzyskują:</t>
  </si>
  <si>
    <t>As empresas são excluídas dos Índices de Referência Alinhados com a UE e o Acordo de Paris se elas derivarem:</t>
  </si>
  <si>
    <t>Podjetje je izključeno iz referenčnih vrednosti EU, usklajenih s Pariškim sporazumom, če pridobijo:</t>
  </si>
  <si>
    <t>Las empresas quedan excluidas de los índices de referencia de la UE armonizados con el Acuerdo de París si derivan:</t>
  </si>
  <si>
    <t>template_label_1_percent_or_more_of_their_revenues_from_exploration_mining_extraction_distribution_or_refining_of_hard_coal_and_lignite</t>
  </si>
  <si>
    <t>1% or more of their revenues from exploration mining extraction distribution or refining of hard coal and lignite</t>
  </si>
  <si>
    <t>1 % eller mere af virksomhedens indtægter kommer fra efterforskning, minedrift, udvinding, distribution eller raffinering af hårdt kul og brunkul</t>
  </si>
  <si>
    <t>ondernemingen die 1% of meer van hun inkomsten verkrijgen uit de exploratie, mijnbouw, winning, distributie of raffinage van steenkool en bruinkool</t>
  </si>
  <si>
    <t>au moins 1 % de leur chiffre d’affaires de la prospection, de l'extraction, de la distribution ou du raffinage de houille et de lignite</t>
  </si>
  <si>
    <t>1 % oder mehr ihrer Umsatzerlöse mit der Exploration, dem Abbau, der Förderung, dem Vertrieb oder der Veredelung von Stein- und Braunkohle erzielen</t>
  </si>
  <si>
    <t>1% nó níos mó dá n-ioncam ó thaiscéalaíocht, mianadóireacht, eastóscadh, dáileadh nó scagadh guail chrua agus lignít</t>
  </si>
  <si>
    <t>società che ottengono l'1 % o più dei ricavi dalla prospezione, estrazione, distribuzione o raffinazione di carbon fossile e lignite;</t>
  </si>
  <si>
    <t>1 % ar daugiau savo pajamų iš akmens anglių ir lignito žvalgybos, kasybos, gavybos, paskirstymo ar perdirbimo</t>
  </si>
  <si>
    <t>co najmniej 1% swoich przychodów z działalności związanej z poszukiwaniem, wydobyciem, dystrybucją lub rafinacją węgla kamiennego i brunatnego</t>
  </si>
  <si>
    <t>1% ou mais do seu rédito é proveniente da exploração, mineração, extração, distribuição ou refinação de carvão betuminoso e linhito</t>
  </si>
  <si>
    <t>2 % ali več svojih prihodkov od raziskovanja, rudarstva, pridobivanja, distribucije ali rafiniranja črnega premoga in lignita</t>
  </si>
  <si>
    <t>Empresas que generan el 1 % o más de sus ingresos procedentes de la exploración, la extracción, la distribución o el refinado de hulla y lignito.</t>
  </si>
  <si>
    <t>template_label_10_percent_or_more_of_their_revenues_from_the_exploration_extraction_distribution_or_refining_of_oil_fuels</t>
  </si>
  <si>
    <t>10% or more of their revenues from the exploration extraction distribution or refining of oil fuels</t>
  </si>
  <si>
    <t>10 % eller mere af virksomhedens indtægter kommer fra efterforskning, udvinding, distribution eller raffinering af oliebrændstoffer</t>
  </si>
  <si>
    <t>Ondernemingen die 10% of meer van hun inkomsten verkrijgen uit de exploratie, winning, distributie of raffinage van oliebrandstoffen.</t>
  </si>
  <si>
    <t>au moins 10 % de leur chiffre d’affaires de la prospection, de l'extraction, de la distribution ou du raffinage de combustibles liquides</t>
  </si>
  <si>
    <t>10 % oder mehr ihrer Umsatzerlöse mit der Exploration, der Förderung, dem Vertrieb oder der Veredelung von Erdöl erzielen</t>
  </si>
  <si>
    <t>10% nó níos mó dá n-ioncam ó thaiscéalaíocht, eastóscadh, dáileadh nó scagadh breoslaí ola</t>
  </si>
  <si>
    <t>società che ottengono il 10% o più dei ricavi dalla prospezione, estrazione, distribuzione o raffinazione di oli combustibili</t>
  </si>
  <si>
    <t>Įmonės, kurios gauna 10 % ar daugiau pajamų iš naftos žvalgybos, gavybos, paskirstymo ar perdirbimo.</t>
  </si>
  <si>
    <t>co najmniej 10% swoich przychodów z działalności związanej z poszukiwaniem, wydobyciem, dystrybucją lub rafinacją paliw olejowych</t>
  </si>
  <si>
    <t xml:space="preserve">Empresas que obtêm 10 % ou mais do seu rédito da exploração, extração, distribuição ou refinação de combustíveis petrolíferos;
</t>
  </si>
  <si>
    <t>11 % ali več svojih prihodkov od raziskovanja, pridobivanja, distribucije ali rafiniranja naftnih goriv</t>
  </si>
  <si>
    <t>empresas que obtienen el 10 % o más de sus ingresos de la exploración, extracción, distribución o refinación de combustibles derivados del petróleo</t>
  </si>
  <si>
    <t>template_label_50_percent_or_more_of_their_revenues_from_the_exploration_extraction_manufacturing_or_distribution_of_gaseous_fuels</t>
  </si>
  <si>
    <t>50% or more of their revenues from the exploration extraction manufacturing or distribution of gaseous fuels</t>
  </si>
  <si>
    <t>50 % eller mere af virksomhedens indtægter kommer fra efterforskning, udvinding, fremstilling eller distribution af gasbaserede brændstoffer</t>
  </si>
  <si>
    <t>ondernemingen die 50% of meer van hun inkomsten halen uit de exploratie, winning, vervaardiging of distributie van gasvormige brandstoffen</t>
  </si>
  <si>
    <t>au moins 50 % de leur chiffre d’affaires de la prospection, de l'extraction, de la fabrication ou de la distribution de combustibles gazeux</t>
  </si>
  <si>
    <t>50 % oder mehr ihrer Umsatzerlöse mit der Exploration, der Förderung, der Herstellung oder dem Vertrieb von gasförmigen Brennstoffen erzielen</t>
  </si>
  <si>
    <t>50% nó níos mó dá n-ioncam ó thaiscéalaíocht, eastóscadh, déantúsaíocht nó dáileadh breoslaí gásacha</t>
  </si>
  <si>
    <t>società che ottengono il 50 % o più dei ricavi dalla prospezione, estrazione, produzione o distribuzione di gas combustibili</t>
  </si>
  <si>
    <t xml:space="preserve">Įmonės, gaunančios 50 % ar daugiau pajamų iš dujinio kuro žvalgybos, gavybos, gamybos ar paskirstymo
</t>
  </si>
  <si>
    <t>co najmniej 50% swoich przychodów z działalności związanej z poszukiwaniem, wydobyciem, dystrybucją lub rafinacją paliw gazowych</t>
  </si>
  <si>
    <t xml:space="preserve">Empresas que obtêm 50 % ou mais do seu rédito da exploração, extração, fabrico ou distribuição de combustíveis gasosos
</t>
  </si>
  <si>
    <t>50 % ali več svojih svojih od raziskovanja, pridobivanja, proizvodnje ali distribucije plinastih goriv</t>
  </si>
  <si>
    <t>Las empresas que obtengan un 50 % o más de sus ingresos de la prospección, la extracción, la fabricación o la distribución de combustibles gaseosos.</t>
  </si>
  <si>
    <t>template_label_50_percent_or_more_of_their_revenues_from_electricity_generation</t>
  </si>
  <si>
    <t>50% or more of their revenues from electricity generation with a GHG intensity of more than 100g CO2 e kWh</t>
  </si>
  <si>
    <t>Elproduktion med høj drivhusgasintensitet (241d):
50 % eller mere af virksomhedens indtægter kommer fra elproduktion med en drivhusgasintensitet på mere end 100 g CO₂e/kWh</t>
  </si>
  <si>
    <t xml:space="preserve">Ondernemingen die 50% of meer van hun inkomsten halen uit elektriciteitsproductie met een broeikasgasintensiteit van meer dan 100 g CO2-equivalent per kWh
</t>
  </si>
  <si>
    <t>au moins 50 % de leur chiffre d’affaires d’activités de production d'électricité présentant une intensité d’émission de GES supérieure à 100 g CO₂e/kWh</t>
  </si>
  <si>
    <t>50 % oder mehr ihrer Umsatzerlöse mit der Stromerzeugung mit einer THG-Emissionsintensität von mehr als 100 g CO2eq/kWh erzielen</t>
  </si>
  <si>
    <t>50% nó níos mó dá n-ioncam ó ghiniúint leictreachais le déine gás ceaptha teasa de níos mó ná 100g CO2 e/kWh</t>
  </si>
  <si>
    <t>società che ottengono il 50 % o più dei ricavi dalla produzione di energia elettrica con un'intensità dei gas a effetto serra superiore a 100 g CO2 eq/kWh</t>
  </si>
  <si>
    <t>Įmonės, gaunančios 50 % ar daugiau pajamų iš elektros energijos gamybos, kurios ŠESD intensyvumas yra didesnis nei 100 g CO2 e/kWh</t>
  </si>
  <si>
    <t>50% swoich przychodów z produkcji energii elektrycznej, której intensywność emisji gazów cieplarnianych wynosi powyżej 100 g CO2e/kWh</t>
  </si>
  <si>
    <t>Empresas que obtêm 50% ou mais do seu rédito da produção de eletricidade com uma intensidade de emissões de gases com efeito de estufa superior a 100 g CO2e/kWh.</t>
  </si>
  <si>
    <t>50 % ali več svojih svojih od proizvodnje električne energije z intenzivnostjo toplogrednih plinov več kot 100 g CO2 e kWh</t>
  </si>
  <si>
    <t>Las empresas que obtengan un 50 % o más de sus ingresos de la generación de electricidad con una intensidad de gases de efecto invernadero superior a los 100 g CO2 e/kWh.</t>
  </si>
  <si>
    <t>template_label_none_of_the_above</t>
  </si>
  <si>
    <t>None of the above</t>
  </si>
  <si>
    <t>Ingen af de ovenstående</t>
  </si>
  <si>
    <t>Geen van bovenstaande</t>
  </si>
  <si>
    <t>Aucun des éléments ci-dessus</t>
  </si>
  <si>
    <t>Keine der oben genannten</t>
  </si>
  <si>
    <t>Ceann ar bith na rudaí thuas</t>
  </si>
  <si>
    <t xml:space="preserve">Nessuno dei precedenti 
</t>
  </si>
  <si>
    <t>Niekas iš aukščiau išvardytų</t>
  </si>
  <si>
    <t>żadne z powyższych</t>
  </si>
  <si>
    <t>Nenhum dos anteriores</t>
  </si>
  <si>
    <t>Nič od naštetega</t>
  </si>
  <si>
    <t>Ninguna de las anteriores</t>
  </si>
  <si>
    <t>template_label_undertakings_are_excluded_from_any_eu_reference_benchmarks_that_are_aligned_with_the_paris_agreement</t>
  </si>
  <si>
    <t>Undertakings are excluded from any EU reference benchmarks that are aligned with the Paris Agreement</t>
  </si>
  <si>
    <t xml:space="preserve">Virksomheder er udelukket fra enhver EU-referencebenchmark, der er tilpasset Parisaftalen. </t>
  </si>
  <si>
    <t>Ondernemingen zijn uitgesloten van op de Overeenkomst van Parijs afgestemde EU-referentiebenchmarks.</t>
  </si>
  <si>
    <t>Les entreprises sont exclues des indices de référence « accord de Paris » de l’Union européenne</t>
  </si>
  <si>
    <t>Unternehmen sind von allen EU-Referenzwerten, die mit dem Pariser Abkommen in Einklang stehen, ausgeschlossen.</t>
  </si>
  <si>
    <t>Tá gnóthais eisiata ó aon tagarmharcanna tagartha AE atá ailínithe le Comhaontú Pháras</t>
  </si>
  <si>
    <t xml:space="preserve">Le imprese sono escluse da qualsiasi indice di riferimento UE allineato con l'accordo di Parigi. 
</t>
  </si>
  <si>
    <t>Įmonės neįtraukiamos į jokius su Paryžiaus susitarimu suderintus ES lyginamuosius etalonus</t>
  </si>
  <si>
    <t>Jednostki są wykluczone z jakichkolwiek unijnych wskaźników referencyjnych, które są zgodne z porozumieniem paryskim.</t>
  </si>
  <si>
    <t>A empresa deve divulgar se está excluída de quaisquer índices de referência da UE que estejam alinhados com o Acordo de Paris.</t>
  </si>
  <si>
    <t>Podjetja so izključena iz vseh referenčnih vrednosti EU, ki so usklajene s Pariškim sporazumom.</t>
  </si>
  <si>
    <t>Las empresas están excluidas de cualquier punto de referencia de la UE alineado con el Acuerdo de París.</t>
  </si>
  <si>
    <t>template_label_c9_gender_diversity_ratio_in_the_governance_body</t>
  </si>
  <si>
    <t>C9 — Genderdiversiteitsverhouding in bestuursorgaan
Indien de onderneming over een bestuursorgaan beschikt, rapporteert de onderneming de daarmee verband houdende genderdiversiteitsverhouding.</t>
  </si>
  <si>
    <t>C9 – Geschlechtervielfalt im Leitungsorgan</t>
  </si>
  <si>
    <t>C9 – Cóimheas maidir le héagsúlacht inscne sa chomhlacht rialachais</t>
  </si>
  <si>
    <t>Diversità di genere nell'organo di governance</t>
  </si>
  <si>
    <t>C9 – Lyčių įvairovės santykis valdymo organe</t>
  </si>
  <si>
    <t>C9 – Wskaźnik zróżnicowania organu zarządzającego pod względem płci</t>
  </si>
  <si>
    <t>C9 – Proporção de diversidade de género no órgão de governação</t>
  </si>
  <si>
    <t>C9 – Razmerje med spoloma v organu upravljanja</t>
  </si>
  <si>
    <t>template_label_does_the_undertaking_have_a_governance_body_in_place</t>
  </si>
  <si>
    <t>Does the undertaking have a governance body in place?</t>
  </si>
  <si>
    <t xml:space="preserve">Har virksomheden et ledelsesorgan? </t>
  </si>
  <si>
    <t>Beschikt de onderneming over een bestuursorgaan?</t>
  </si>
  <si>
    <t>L'entreprise dispose-t-elle d'un organe de gouvernance ?</t>
  </si>
  <si>
    <t>Verfügt das Unternehmen über ein Leitungsorgan?</t>
  </si>
  <si>
    <t>An bhfuil comhlacht rialachais i bhfeidhm ag an ngnóthas?</t>
  </si>
  <si>
    <t>L'impresa dispone di un organo di governance?</t>
  </si>
  <si>
    <t>Ar įmonė yra įsteigusi valdymo organą?</t>
  </si>
  <si>
    <t>Czy jednostka posiada organ zarządzający?</t>
  </si>
  <si>
    <t>A entidade tem um órgão de governação estabelecido?</t>
  </si>
  <si>
    <t>Ali ima podjetje vzpostavljen organ upravljanja?</t>
  </si>
  <si>
    <t xml:space="preserve">¿La empresa tiene un órgano de gobernanza establecido? 
</t>
  </si>
  <si>
    <t>template_label_number_of_female_board_members_at_the_end_of_the_reporting_period</t>
  </si>
  <si>
    <t>Number of female board members at the end of the reporting period</t>
  </si>
  <si>
    <t>Antal kvinder i det øverste ledelsesorgan ved udgangen af rapporteringsperioden</t>
  </si>
  <si>
    <t xml:space="preserve">Aantal vrouwelijke bestuursleden aan het einde van de rapportageperiode </t>
  </si>
  <si>
    <t>Nombre de femmes membres du conseil d'administration à la fin de la période de reporting</t>
  </si>
  <si>
    <t>Anzahl der weiblichen Mitglieder im Leitungsorgan am Ende des Berichtszeitraums</t>
  </si>
  <si>
    <t>Líon na gcomhaltaí boird baineann ag deireadh na tréimhse tuairiscithe</t>
  </si>
  <si>
    <t xml:space="preserve">Numero di membri femminili nel consiglio alla fine del periodo di riferimento
</t>
  </si>
  <si>
    <t>Moterų valdybos narių skaičius ataskaitinio laikotarpio pabaigoje</t>
  </si>
  <si>
    <t>Liczba kobiet w organie zarządzającym na koniec okresu sprawozdawczego</t>
  </si>
  <si>
    <t>Número de membros do conselho do sexo feminino no final do período de relato</t>
  </si>
  <si>
    <t>Število članic upravnega odbora ob koncu obdobja poročanja</t>
  </si>
  <si>
    <t>Número de miembros femeninos del consejo al final del período de reporte</t>
  </si>
  <si>
    <t>template_label_number_of_male_board_members_at_the_end_of_the_reporting_period</t>
  </si>
  <si>
    <t>Number of male board members at the end of the reporting period</t>
  </si>
  <si>
    <t>Antal mænd i det øverste ledelsesorgan ved udgangen af rapporteringsperioden</t>
  </si>
  <si>
    <t xml:space="preserve">Aantal mannelijke bestuursleden aan het einde van de rapportageperiode </t>
  </si>
  <si>
    <t>Nombre d'hommes membres du conseil d'administration à la fin de la période de reporting</t>
  </si>
  <si>
    <t>Anzahl der männlichen Mitglieder im Leitungsorgan am Ende des Berichtszeitraums</t>
  </si>
  <si>
    <t>Líon na gcomhaltaí boird fireann ag deireadh na tréimhse tuairiscithe</t>
  </si>
  <si>
    <t>Numero di membri maschili nel consiglio alla fine del periodo di riferimento</t>
  </si>
  <si>
    <t>Vyrų valdybos narių skaičius ataskaitinio laikotarpio pabaigoje</t>
  </si>
  <si>
    <t>Liczba mężczyzn w organie zarządzającym na koniec okresu sprawozdawczego</t>
  </si>
  <si>
    <t>Número de membros masculinos do conselho no final do período de reporte</t>
  </si>
  <si>
    <t>Število moških članov upravnega odbora ob koncu obdobja poročanja</t>
  </si>
  <si>
    <t>Número de miembros masculinos del consejo al final del período de reporte</t>
  </si>
  <si>
    <t>template_label_gender_diversity_ratio_in_governance_body</t>
  </si>
  <si>
    <t>Gender diversity ratio in governance body</t>
  </si>
  <si>
    <t xml:space="preserve">Forholdet mellem kvinder og mænd i det øverste ledelsesorgan </t>
  </si>
  <si>
    <t xml:space="preserve"> Genderdiversiteitsverhouding in het bestuursorgaan</t>
  </si>
  <si>
    <t>Ratio de mixité au sein de l’organe de gouvernance</t>
  </si>
  <si>
    <t>Geschlechterverhältnis im Leitungsorgan</t>
  </si>
  <si>
    <t>Cóimheas éagsúlachta inscne an chomhlachta rialachais</t>
  </si>
  <si>
    <t>Lyčių įvairovės santykis valdymo organe</t>
  </si>
  <si>
    <t>Wskaźnik zróżnicowania organu zarządzającego pod względem płci</t>
  </si>
  <si>
    <t>Rácio de diversidade de género no órgão de governação</t>
  </si>
  <si>
    <t>Razmerje med spoloma v organu upravljanja</t>
  </si>
  <si>
    <t>Ratio de diversidad de género en el órgano de gobierno</t>
  </si>
  <si>
    <t>template_label_disclosure_of_any_other_governance_and_or_entity_specific_governance_disclosures</t>
  </si>
  <si>
    <t>Disclosure of any other governance and/or entity specific governance disclosures</t>
  </si>
  <si>
    <t>Oplysning af øvrige ledelses- og/eller virksomheds-specifikke ledelsesoplysninger</t>
  </si>
  <si>
    <t>Rapportage van alle andere governance en/of entiteitsspecifieke governance rapportages</t>
  </si>
  <si>
    <t>Publication de toute autre information de gouvernance et/ ou spécifique à l'entité</t>
  </si>
  <si>
    <t>Angabe weiterer Governance- und/oder unternehmensspezifischer Governance-Angaben</t>
  </si>
  <si>
    <t>Nochtadh aon nochtaí rialachas agus/nó rialachais sonrach don ghnóthas</t>
  </si>
  <si>
    <t>Comunicazione di qualsiasi altra informativa sulla governance e/o specifica per soggetto</t>
  </si>
  <si>
    <t>Bet kokios kitos valdysenos ir/ar įmonės specifinės valdysenos informacijos atskleidimas</t>
  </si>
  <si>
    <t>Ujawnienie wszelkich innych ujawnień dotyczących ładu korporacyjnego i/lub specyficznych dla jednostki ujawnień dotyczących ładu korporacyjnego</t>
  </si>
  <si>
    <t>Divulgação de quaisquer outras informações de governação  e/ou divulgações específicas de governação da empresa</t>
  </si>
  <si>
    <t>Razkritje vseh drugih razkritij o upravljanju in/ali za podjetje specifičnih razkritij, povezanih z upravljanjem</t>
  </si>
  <si>
    <t>Divulgación de cualquier otra información de gobernanza y/o específica de la entidad</t>
  </si>
  <si>
    <t>template_label_fuel_converter</t>
  </si>
  <si>
    <t>FUEL CONVERTER</t>
  </si>
  <si>
    <t>BRÆNDSTOFSKONVERTER</t>
  </si>
  <si>
    <t>Brandstofomzetter</t>
  </si>
  <si>
    <t>CONVERTISSEUR DE CARBURANT</t>
  </si>
  <si>
    <t>Brennstoffumrechner</t>
  </si>
  <si>
    <t>TIONTAIRE BREOSLA</t>
  </si>
  <si>
    <t>CONVERTITORE DI COMBUSTIBILE</t>
  </si>
  <si>
    <t>Kuro kovertavimo įrankis</t>
  </si>
  <si>
    <t>KONWERTER PALIWA</t>
  </si>
  <si>
    <t>CONVERSOR DE COMBUSTÍVEL</t>
  </si>
  <si>
    <t>PRETVORNIK GORIVA</t>
  </si>
  <si>
    <t>CONVERTIDOR DE COMBUSTIBLE</t>
  </si>
  <si>
    <t>template_label_disclaimer</t>
  </si>
  <si>
    <t>DISCLAIMER:</t>
  </si>
  <si>
    <t>ANSVARSFRASKRIVELSE:</t>
  </si>
  <si>
    <t xml:space="preserve">DISCLAIMER
</t>
  </si>
  <si>
    <t>AVERTISSEMENT :</t>
  </si>
  <si>
    <t>HAFTUNGSAUSSCHLUSS:</t>
  </si>
  <si>
    <t>SÉANADH:</t>
  </si>
  <si>
    <t>AVVERTENZA:</t>
  </si>
  <si>
    <t>Paaiškinimas</t>
  </si>
  <si>
    <t>ZASTRZEŻENIE:</t>
  </si>
  <si>
    <t>AVISO:</t>
  </si>
  <si>
    <t>OPOZORILO:</t>
  </si>
  <si>
    <t>AVISO LEGAL:</t>
  </si>
  <si>
    <t>template_label_this_converter_is_intended_solely_to_illustrate_how_energy_consumption_in_mwh</t>
  </si>
  <si>
    <t>This converter is intended solely to illustrate how energy consumption (in MWh) can be calculated from various fuel types. EFRAG assumes no responsibility or liability for the content or for any direct, indirect, or incidental consequences or damages resulting from the use of this fuel converter.</t>
  </si>
  <si>
    <t xml:space="preserve">Denne konverter er udelukkende beregnet til at illustrere, hvordan energiforbrug (i MWh) kan beregnes ud fra forskellige brændstoftyper. EFRAG påtager sig intet ansvar eller erstatningsansvar for indholdet eller for enhver direkte, indirekte eller tilfældig følgevirkning eller skade som følge af brugen af denne brændstofkonverter.
</t>
  </si>
  <si>
    <t>Deze converter is uitsluitend bedoeld om te illustreren hoe het energieverbruik (in MWh) kan worden berekend uit verschillende brandstoftypes. EFRAG aanvaardt geen verantwoordelijkheid of aansprakelijkheid voor de inhoud of voor enige directe, indirecte of toevallige gevolgen of schade die voortvloeien uit het gebruik van deze brandstofconverter.</t>
  </si>
  <si>
    <t>Ce convertisseur est destiné uniquement à illustrer comment la consommation d'énergie (en MWh) peut être calculée à partir de différents types de combustibles. L'EFRAG décline toute responsabilité quant à son contenu ou aux conséquences ou dommages directs, indirects ou accessoires résultant de l’utilisation de ce convertisseur de carburant.</t>
  </si>
  <si>
    <t>Dieser Umrechner dient ausschließlich zur Veranschaulichung, wie der Energieverbrauch (in MWh) aus verschiedenen Brennstoffarten berechnet werden kann. EFRAG übernimmt keine Verantwortung oder Haftung für den Inhalt oder für direkte, indirekte oder zufällige Folgen oder Schäden, die aus der Nutzung dieses Brennstoffumrechners resultieren.</t>
  </si>
  <si>
    <t>Níl sé i gceist ach an tiontaire seo a léiriú ar an gcaoi ar féidir tomhaltas fuinnimh (i MWh) a ríomh ó chineálacha éagsúla breosla. Ní ghlacann EFRAG aon fhreagracht ná dliteanas as an ábhar ná as aon iarmhairtí nó damáistí díreacha, indíreacha nó teagmhasacha a eascraíonn as úsáid an tiontaire breosla seo.</t>
  </si>
  <si>
    <t xml:space="preserve">Questo convertitore è destinato esclusivamente a illustrare come il consumo di energia (in MWh) possa essere calcolato a partire da vari tipi di combustibile. EFRAG non assume alcuna responsabilità per il contenuto né per eventuali conseguenze o danni diretti, indiretti o incidentali derivanti dall'uso di questo convertitore di combustibili. 
</t>
  </si>
  <si>
    <t>Šis kuro konvertavimo įrankis skirtas parodyti, kaip galima apskaičiuoti energijos suvartojimą (MWh) iš įvairių kuro rūšių. EFRAG neprisiima jokios atsakomybės už turinį ar už tiesiogines, netiesiogines ar atsitiktines pasekmes ar žalą, atsiradusią naudojant šį įrankį.</t>
  </si>
  <si>
    <t>Ten konwerter ma na celu jedynie zilustrowanie, w jaki sposób można obliczyć zużycie energii (w MWh) na podstawie różnych rodzajów paliw. EFRAG nie ponosi żadnej odpowiedzialności za treść ani za jakiekolwiek bezpośrednie, pośrednie lub przypadkowe skutki lub szkody wynikłe z korzystania z tego konwertera paliw.</t>
  </si>
  <si>
    <t>Este conversor destina-se exclusivamente a ilustrar como o consumo de energia (em MWh) pode ser calculado a partir de vários tipos de combustíveis. A EFRAG não assume qualquer responsabilidade ou obrigação pelo conteúdo ou por quaisquer consequências ou danos diretos, indiretos ou acidentais resultantes da utilização deste conversor de combustível.</t>
  </si>
  <si>
    <t>Ta pretvornik je namenjen izključno ponazoritvi, kako se lahko izračuna poraba energije (v MWh) iz različnih vrst goriva. EFRAG ne prevzema nobene odgovornosti za vsebino ali kakršne koli neposredne, posredne ali naključne posledice ali škodo, ki bi nastala zaradi uporabe tega pretvornika goriva.</t>
  </si>
  <si>
    <t>Este convertidor tiene la única finalidad de ilustrar cómo se puede calcular el consumo de energía (en MWh) a partir de diversos tipos de combustible. EFRAG no asume ninguna responsabilidad ni obligación por el contenido ni por cualquier consecuencia o daño directo, indirecto o accidental resultante del uso de este convertidor de combustible.</t>
  </si>
  <si>
    <t>template_label_please_note_that_the_typical_values_for_net_calorific_value_and_density_are_provided_for_each_fuel_type</t>
  </si>
  <si>
    <t>Please note that the typical values for Net Calorific Value (NCV) and Density are provided for each fuel type. However, these parameters may vary depending on factors such as national regulations, specific characteristics of fuel providers, or other circumstances. Therefore, users are expected to manually enter or adjust the NCV and Density values to reflect their specific situation.</t>
  </si>
  <si>
    <t>Bemærk, at typiske værdier for Nettokalorisk værdi (NCV) og Densitet er angivet for hver brændstoftype. Disse parametre kan dog variere afhængigt af faktorer som nationale regler, specifikke karakteristika ved brændstofleverandører eller andre omstændigheder. Derfor forventes det, at brugerne manuelt indtaster eller justerer NCV- og Densitetsværdierne for at afspejle deres specifikke situation.</t>
  </si>
  <si>
    <t xml:space="preserve">Houd er rekening mee dat de gebruikelijke waarden voor Netto Calorische Waarde (NCV) en Dichtheid worden verstrekt voor elk type brandstof. Deze parameters kunnen echter variëren afhankelijk van factoren zoals nationale regelgeving, specifieke kenmerken van brandstofleveranciers of andere omstandigheden. Daarom wordt van gebruikers verwacht dat zij de NCV- en dichtheidswaarden handmatig invoeren of aanpassen  aan hun specifieke situatie . 
</t>
  </si>
  <si>
    <t>Veuillez noter que les valeurs usuelles du pouvoir calorifique net (PCN) et de la densité sont fournies pour chaque type de combustible. Toutefois, ces paramètres peuvent varier en fonction de facteurs tels que les réglementations nationales, les caractéristiques spécifiques des fournisseurs de combustibles ou d’autres circonstances. Il appartient donc aux utilisateurs de saisir ou d’ajuster manuellement les valeurs de PCN et de densité afin de refléter leur situation spécifique.</t>
  </si>
  <si>
    <t>Bitte beachten Sie, dass für jeden Brennstofftyp die typischen Werte für den Nettoheizwert (Net Calorific Value; NCV) und die Dichte angegeben werden. Diese Parameter können jedoch je nach Faktoren wie nationalen Vorschriften, spezifischen Eigenschaften der Brennstoffanbieter oder anderen Umständen variieren. Daher wird von den Nutzern erwartet, dass sie die NCV- und Dichtewerte manuell eingeben oder anpassen, um ihre spezifische Situation widerzuspiegeln.</t>
  </si>
  <si>
    <t>Tabhair faoi deara, le do thoil, go gcuirtear na luachanna tipiciúla do Ghlanluach Calrach (NCV) agus Dlús ar fáil do gach cineál breosla. Mar sin féin, d'fhéadfadh na paraiméadair seo a bheith éagsúil ag brath ar fhachtóirí amhail rialacháin náisiúnta, saintréithe sonracha soláthraithe breosla, nó imthosca eile. Dá bhrí sin, táthar ag súil go ndéanfaidh úsáideoirí na luachanna NCV agus Dlúis a iontráil nó a choigeartú de láimh chun a staid shonrach a léiriú.</t>
  </si>
  <si>
    <t xml:space="preserve">Si prega di notare che i valori tipici per il Potere Calorifico Netto (PCN) e la Densità sono forniti per ogni tipo di combustibile. Tuttavia, tali parametri possono variare in base a fattori quali le normative nazionali, le caratteristiche specifiche dei fornitori di combustibile o altre circostanze. Pertanto, si prevede che gli utilizzatori inseriscano manualmente o modifichino i valori di PCN e Densità per riflettere la loro situazione specifica. 
</t>
  </si>
  <si>
    <t>Atkreipkite dėmesį, kad kiekvienam kuro tipui pateikiamos grynosios šilumingumo vertės (NCV) ir tankio reikšmės. Tačiau šie parametrai gali skirtis priklausomai nuo nacionalinių reikalavimų, konkrečių kuro tiekėjų ypatumų ar kitų aplinkybių. Todėl naudotojai turėtų rankiniu būdu įvesti arba pakoreguoti NCV ir tankio reikšmes, kad jos atspindėtų jų konkrečią situaciją.</t>
  </si>
  <si>
    <t xml:space="preserve">Proszę zauważyć, że typowe wartości dla wartości kalorycznej netto (NCV) i gęstości są podane dla każdego rodzaju paliwa. Jednakże parametry te mogą się różnić w zależności od czynników takich jak krajowe przepisy, specyficzne cechy dostawców paliw lub inne okoliczności. W związku z tym użytkownicy powinni ręcznie wprowadzać lub dostosowywać wartość kaloryczną netto (NCV) i gęstość, aby odzwierciedlić swoją konkretną sytuację. </t>
  </si>
  <si>
    <t>Note que os valores típicos para o Valor Calorífico Líquido (NCV) e a Densidade são fornecidos para cada tipo de combustível. Contudo, estes parâmetros podem variar dependendo de fatores como regulamentos nacionais, características específicas dos fornecedores de combustível ou outras circunstâncias. Portanto, espera-se que os utilizadores insiram manualmente ou ajustem os valores de NCV e Densidade para refletir a sua situação específica.</t>
  </si>
  <si>
    <t>Upoštevajte, da so tipične vrednosti neto kalorične vrednosti (NCV) in gostote navedene za vsako vrsto goriva. Vendar se ti parametri lahko razlikujejo glede na dejavnike, kot so nacionalni predpisi, posebne značilnosti ponudnikov goriva ali druge okoliščine. Zato se od uporabnikov pričakuje, da ročno vnesejo ali prilagodijo vrednosti NCV in gostote, da odražajo njihove specifične razmere.</t>
  </si>
  <si>
    <t>Tenga en cuenta que se proporcionan los valores típicos para el Valor Calorífico Neto (NCV) y la Densidad para cada tipo de combustible. Sin embargo, estos parámetros pueden variar dependiendo de factores como las regulaciones nacionales, características específicas de los proveedores de combustible u otras circunstancias. Por lo tanto, se espera que los usuarios introduzcan o ajusten manualmente los valores de NCV y Densidad para reflejar su situación específica.</t>
  </si>
  <si>
    <t>template_label_additionally_users_are_encouraged_to_determine_the_renewability_status_of_each_fuel_based_on_guarantees_of_origin</t>
  </si>
  <si>
    <t>Additionally, users are encouraged to determine the renewability status of each fuel based on Guarantees of Origin, as outlined in Article 19 of the European Directive 2018/2001/EC on the promotion of the use of energy from renewable sources. The default renewability status provided for each fuel is a typical assumption and should be adjusted if necessary, based on geographical or individual circumstances.</t>
  </si>
  <si>
    <t>Derudover opfordres brugerne til at fastlægge fornyelsesstatussen for hver brændselstype baseret på Oprindelsesgarantier, som beskrevet i artikel 19 i det europæiske direktiv 2018/2001/EF om fremme af anvendelse af energi fra vedvarende kilder. Den standard fornyelsesstatus, der er angivet for hver brændselstype, er en typisk antagelse og bør justeres om nødvendigt baseret på geografiske eller individuelle forhold.</t>
  </si>
  <si>
    <t>Daarnaast worden gebruikers aangemoedigd om de status van hernieuwbaarheid van elke brandstof te bepalen op basis van Garanties van Oorsprong, zoals uiteengezet in Artikel 19 van de Europese Richtlijn 2018/2001/EG inzake de bevordering van het gebruik van energie uit hernieuwbare bronnen. De standaard status van hernieuwbaarheid die voor elke brandstof wordt geboden is een typische aanname en dient, indien nodig, te worden aangepast op basis van geografische of individuele omstandigheden.</t>
  </si>
  <si>
    <t>De plus, les utilisateurs sont encouragés à déterminer le caractère renouvelable de chaque combustible sur la base des garanties d’origine, conformément à l’article 19 de la directive (UE) 2018/2001 relative à la promotion de l’utilisation de l’énergie produite à partir de sources renouvelables. Le caractère renouvelable indiqué par défaut pour chaque combustible correspond à une hypothèse usuelle et doit, le cas échéant, être ajusté en fonction de la situation géographique ou des circonstances particulières.</t>
  </si>
  <si>
    <t>Zusätzlich werden die Nutzer ermutigt, die Erneuerbarkeit jedes Brennstoffs auf der Grundlage von Herkunftsnachweisen gemäß Artikel 19 der Europäischen Richtlinie 2018/2001/EG zur Förderung der Nutzung von Energie aus erneuerbaren Quellen zu bestimmen. Die standardmäßige Erneuerbarkeit für jeden Brennstoff ist eine typische Annahme und sollte gegebenenfalls basierend auf geografischen oder individuellen Umständen angepasst werden.</t>
  </si>
  <si>
    <t>Ina theannta sin, spreagtar úsáideoirí stádas in-athnuaite gach breosla a chinneadh bunaithe ar Ráthaíochtaí Tionscnaimh, mar atá leagtha amach in Airteagal 19 den Treoir Eorpach 2018/2001/CE maidir le húsáid fuinnimh ó fhoinsí in-athnuaite a chur chun cinn. Is toimhde tipiciúil í an stádas réamhshocraithe in-athnuachana a chuirtear ar fáil do gach breosla agus ba cheart é a choigeartú más gá, bunaithe ar imthosca tíreolaíochta nó ar imthosca aonair.</t>
  </si>
  <si>
    <t>Inoltre, si incoraggia gli utilizzatori a determinare lo stato di rinnovabilità di ciascun combustibile sulla base delle Garanzie di Origine, come previsto dall'Articolo 19 della Direttiva Europea 2018/2001/CE sulla promozione dell'uso di energia da fonti rinnovabili. Lo stato di rinnovabilità predefinito fornito per ciascun combustibile è un'assunzione tipica e dovrebbe essere modificato, se necessario, in base a circostanze geografiche o individuali.</t>
  </si>
  <si>
    <t>Be to, vartotojai raginami nustatyti kiekvieno kuro atsinaujinamumo statusą, remdamiesi kilmės garantijomis, kaip nurodyta Europos Parlamento ir Tarybos Direktyvos 2018/2001/ES 19 straipsnyje dėl atsinaujinančių energijos išteklių naudojimo skatinimo. Kiekvieno kuro numatytasis atsinaujinamumo statusas yra tipinė prielaida ir, jei reikia, jis turėtų būti koreguojamas atsižvelgiant į geografines ar individualias aplinkybes.</t>
  </si>
  <si>
    <t>Dodatkowo, zaleca się, aby użytkownicy określili status odnawialności każdego paliwa na podstawie Gwarancji Pochodzenia, zgodnie z artykułem 19 dyrektywy europejskiej 2018/2001/UE dotyczącej promowania wykorzystania energii ze źródeł odnawialnych. Domyślny status odnawialności przypisany do każdego paliwa jest typowym założeniem i w razie potrzeby powinien zostać dostosowany na podstawie okoliczności geograficznych lub indywidualnych.</t>
  </si>
  <si>
    <t>Adicionalmente, recomenda-se que os utilizadores determinem o estado de renovabilidade de cada combustível com base nas Garantias de Origem, conforme descrito no Artigo 19 da Diretiva Europeia 2018/2001/CE sobre a promoção da utilização de energia proveniente de fontes renováveis. O estado de renovabilidade predefinido fornecido para cada combustível é uma suposição típica e deve ser ajustado, se necessário, com base em circunstâncias geográficas ou individuais.</t>
  </si>
  <si>
    <t>Poleg tega se uporabnike spodbuja, da določijo status obnovljivosti vsakega goriva na podlagi potrdil o izvoru, kot je določeno v 19. členu Evropske direktive 2018/2001/ES o spodbujanju uporabe energije iz obnovljivih virov. Privzeti status obnovljivosti, ki je naveden za vsako gorivo, je tipična predpostavka in se lahko po potrebi prilagodi glede na geografske ali individualne okoliščine.</t>
  </si>
  <si>
    <t>Adicionalmente, se anima a los usuarios a determinar el carácter renovable de cada combustible basándose en las Garantías de Origen, tal como se establece en el artículo 19 de la Directiva Europea 2018/2001/CE sobre la promoción del uso de energía procedente de fuentes renovables. El carácter renovable predeterminado para cada combustible es una suposición típica y deberá ajustarse si es necesario, teniendo en cuenta circunstancias geográficas o individuales.</t>
  </si>
  <si>
    <t>template_label_indicates_that_the_cell_should_be_filled_either_by_selecting_a_value_from_the_dropdown</t>
  </si>
  <si>
    <t>Indicates that the cell should be filled either by selecting a value from the dropdown (e.g. Type of fuel or Unit of Measurement) or by entering an amount.</t>
  </si>
  <si>
    <t>Angiver, at cellen skal udfyldes enten ved at vælge en værdi fra dropdown-menuen (f.eks. Type af brændstof eller Måleenhed) eller ved at indtaste en mængde.</t>
  </si>
  <si>
    <t>Geeft aan dat de cel moet worden ingevuld door een waarde te selecteren uit  het keuzemenu  (bijv. Brandstoftype of Meeteenheid) of door een  hoeveelheid in te voeren.</t>
  </si>
  <si>
    <t>Indique que la cellule doit être remplie soit en sélectionnant une valeur dans la liste déroulante (par exemple, le type de carburant ou l’unité de mesure), soit en saisissant un montant.</t>
  </si>
  <si>
    <t>Bedeutet, dass die Zelle entweder durch Auswahl eines Wertes aus dem Dropdown-Menü (z. B. Brennstoffart oder Maßeinheit) oder durch Eingabe eines Betrags ausgefüllt werden soll.</t>
  </si>
  <si>
    <t>Léiríonn sé gur chóir an chill a líonadh trí luach a roghnú ón roghchlár anuas (m.sh. Cineál breosla nó Aonad Tomhais) nó trí mhéid a chur isteach ann.</t>
  </si>
  <si>
    <t>Indica che la cella deve essere compilata selezionando un valore dal menu a tendina (ad esempio Tipo di carburante o Unità di misura) oppure inserendo un importo.</t>
  </si>
  <si>
    <t>Nurodo, kad langelis turi būti užpildytas pasirenkant reikšmę iš išskleidžiamojo sąrašo (pvz., kuro tipą arba matavimo vienetą) arba įvedant kiekį.</t>
  </si>
  <si>
    <t>Wskazuje, że komórka powinna być wypełniona przez wybranie wartości z listy rozwijanej (np. Rodzaj paliwa lub Jednostka miary) lub przez wprowadzenie ilości.</t>
  </si>
  <si>
    <t>Indica que a célula deve ser preenchida selecionando um valor da lista pendente (por exemplo, Tipo de combustível ou Unidade de Medida) ou introduzindo um montante.</t>
  </si>
  <si>
    <t>Označuje, da bi se moralo polje izpolniti bodisi z izbiro vrednosti iz spustnega menija (npr. Vrsta goriva ali Merska enota) bodisi z vnosom količine.</t>
  </si>
  <si>
    <t>Indica que la celda debe rellenarse bien seleccionando un valor del desplegable (por ejemplo, Tipo de combustible o Unidad de medida) o introduciendo una cantidad.</t>
  </si>
  <si>
    <t>template_label_fuel_type</t>
  </si>
  <si>
    <t>Fuel type</t>
  </si>
  <si>
    <t xml:space="preserve">Type af brædnstof </t>
  </si>
  <si>
    <t>Brandstoftype</t>
  </si>
  <si>
    <t>Type de carburant</t>
  </si>
  <si>
    <t>Brennstofftyp</t>
  </si>
  <si>
    <t>Cineál breosla</t>
  </si>
  <si>
    <t>Tipo di combustibile</t>
  </si>
  <si>
    <t>Degalų rūšis</t>
  </si>
  <si>
    <t>Rodzaj paliwa</t>
  </si>
  <si>
    <t>Tipo de combustível</t>
  </si>
  <si>
    <t>Vrsta goriva</t>
  </si>
  <si>
    <t>Tipo de combustible</t>
  </si>
  <si>
    <t>template_label_amount</t>
  </si>
  <si>
    <t>Beløb</t>
  </si>
  <si>
    <t>Hoeveelheid</t>
  </si>
  <si>
    <t>Montant</t>
  </si>
  <si>
    <t>Betrag</t>
  </si>
  <si>
    <t>Méid</t>
  </si>
  <si>
    <t>Importo</t>
  </si>
  <si>
    <t>Kiekis</t>
  </si>
  <si>
    <t>Ilość</t>
  </si>
  <si>
    <t>Quantidade</t>
  </si>
  <si>
    <t>Znesek</t>
  </si>
  <si>
    <t>Cantidad</t>
  </si>
  <si>
    <t>template_label_state_of_matter</t>
  </si>
  <si>
    <t>Tilstand af stof</t>
  </si>
  <si>
    <t>Toestand van materie</t>
  </si>
  <si>
    <t>État de la matière</t>
  </si>
  <si>
    <t>Aggregatzustand</t>
  </si>
  <si>
    <t>Staid an ábhair</t>
  </si>
  <si>
    <t>Stato della materia</t>
  </si>
  <si>
    <t>Medžiagos būsena</t>
  </si>
  <si>
    <t>Stan skupienia</t>
  </si>
  <si>
    <t>Estado da matéria</t>
  </si>
  <si>
    <t>Agregatno stanje</t>
  </si>
  <si>
    <t>Estado de la materia</t>
  </si>
  <si>
    <t>template_label_typical_renewable_state</t>
  </si>
  <si>
    <t>Typical renewable state</t>
  </si>
  <si>
    <t>Typisk vedvarende tilstand</t>
  </si>
  <si>
    <t>Typische hernieuwbare staat</t>
  </si>
  <si>
    <t>État renouvelable type</t>
  </si>
  <si>
    <t>Typische Erneuerbarkeit</t>
  </si>
  <si>
    <t>Staid in-athnuaite tipiciúil</t>
  </si>
  <si>
    <t>Stato tipico delle energie rinnovabili</t>
  </si>
  <si>
    <t>Įprasta atsinaujinančios energijos būsena</t>
  </si>
  <si>
    <t>Typowy stan odnawialny</t>
  </si>
  <si>
    <t>Estado renovável típico</t>
  </si>
  <si>
    <t>Tipično stanje obnovljivosti</t>
  </si>
  <si>
    <t>Estado renovable típico</t>
  </si>
  <si>
    <t>template_label_calculated_energy_in_mwh</t>
  </si>
  <si>
    <t>Calculated Energy in MWh</t>
  </si>
  <si>
    <t>Beregnet energi i MWh</t>
  </si>
  <si>
    <t>Berekende Energie in MWh</t>
  </si>
  <si>
    <t>Énergie calculée en MWh</t>
  </si>
  <si>
    <t>Berechnete Energie in MWh</t>
  </si>
  <si>
    <t>Fuinneamh Ríofa i MWh</t>
  </si>
  <si>
    <t>Energia calcolata in MWh</t>
  </si>
  <si>
    <t>Apskaičiuota energija (MWh)</t>
  </si>
  <si>
    <t>Obliczona energia w MWh</t>
  </si>
  <si>
    <t>Energia Calculada em MWh</t>
  </si>
  <si>
    <t>Izračunana energija v MWh</t>
  </si>
  <si>
    <t>Energía calculada en MWh</t>
  </si>
  <si>
    <t>template_label_usage_of_fuel_converter</t>
  </si>
  <si>
    <t>Usage of Fuel Converter:</t>
  </si>
  <si>
    <t>Brug af brændstofskonverter</t>
  </si>
  <si>
    <t>Gebruik van brandstofomzetter:</t>
  </si>
  <si>
    <t>Utilisation du convertisseur de carburant :</t>
  </si>
  <si>
    <t>Verwendung des Brennstoffumrechners:</t>
  </si>
  <si>
    <t>Úsáid Tiontaire Breosla:</t>
  </si>
  <si>
    <t>Utilizzo del convertitore di combustibile:</t>
  </si>
  <si>
    <t>Kuro kovertavimo įrankio naudojimas:</t>
  </si>
  <si>
    <t>Użytkowanie konwertera paliwa:</t>
  </si>
  <si>
    <t>Uso do Conversor de Combustível:</t>
  </si>
  <si>
    <t>Uporaba pretvornika goriva:</t>
  </si>
  <si>
    <t>Uso del Convertidor de Combustible:</t>
  </si>
  <si>
    <t>template_label_1_in_cell_a9_select_the_fuel_used_searching_for_it_or_scrolling_down_the_list_displayed_clicking_the_cell</t>
  </si>
  <si>
    <t>1. In cell A10 select the Fuel used, searching for it or scrolling down the list displayed clicking the cell</t>
  </si>
  <si>
    <t>1. I celle A10 skal du vælge det anvendte brændstof, enten ved at søge efter det eller ved at rulle ned i den viste liste og klikke på det.</t>
  </si>
  <si>
    <t xml:space="preserve">1. Selecteer in cel A10 de gebruikte brandstof door hiernaar te zoeken of door de weergegeven lijst te scrollen die zichtbaar wordt door op de cel te klikken. </t>
  </si>
  <si>
    <t>1. Dans la cellule A10, sélectionnez le carburant utilisé, en le recherchant ou en faisant défiler la liste affichée et en cliquant sur la cellule.</t>
  </si>
  <si>
    <t>1. Wählen Sie in Zelle A10 den verwendeten Brennstoff aus, indem Sie danach suchen oder in der angezeigten Liste nach unten scrollen und die Zelle anklicken.</t>
  </si>
  <si>
    <t>1. I gcill A10 roghnaigh an Breosla a úsáidtear, ag cuardach é nó ag scrollú síos an liosta a thaispeántar ag cliceáil ar an gcill</t>
  </si>
  <si>
    <t xml:space="preserve">1. Nella cella A10 selezionare il Combustibile utilizzato, cercandolo o scorrendo l'elenco visualizzato e cliccando sulla cella
</t>
  </si>
  <si>
    <t>1. Langelyje A10 pasirinkite naudojamą kurą, ieškodami jo arba slinkdami žemyn rodomame sąraše spustelėdami langelį.</t>
  </si>
  <si>
    <t>1. W komórce A10 wybierz użyte paliwo, wyszukując je lub przewijając w dół wyświetlaną listę i klikając komórkę</t>
  </si>
  <si>
    <t>1. Na célula A10 selecione o combustível utilizado, procurando-o ou deslocando-se para baixo na lista exibida e clicando na célula.</t>
  </si>
  <si>
    <t>1. V polju A10 izberite uporabljeno gorivo tako, da ga poiščete ali se pomaknete navzdol po prikazanem seznamu s klikom na polje</t>
  </si>
  <si>
    <t>1. En la celda A10, seleccione el combustible utilizado, buscándolo o desplazándose por la lista mostrada y haciendo clic en la celda.</t>
  </si>
  <si>
    <t>template_label_2_in_cell_b9_select_the_unit_of_measurement_used</t>
  </si>
  <si>
    <t>2. In cell B10 select the Unit of measurement used</t>
  </si>
  <si>
    <t>2. I celle B10 skal du vælge den anvendte måleenhed.</t>
  </si>
  <si>
    <t>2. Selecteer in cel B10 de gebruikte meeteenheid</t>
  </si>
  <si>
    <t>2. Dans la cellule B10, sélectionnez l’unité de mesure utilisée</t>
  </si>
  <si>
    <t>2. Wählen Sie in Zelle B10 die verwendete Maßeinheit aus.</t>
  </si>
  <si>
    <t>2. I gcill B10 roghnaigh an tAonad tomhais a úsáidtear</t>
  </si>
  <si>
    <t>2. Nella cella B10 selezionare l'unità di misura utilizzata</t>
  </si>
  <si>
    <t>2. Langelyje B10 pasirinkite naudojamą matavimo vienetą</t>
  </si>
  <si>
    <t>2. W komórce B10 wybierz użytą jednostkę miary</t>
  </si>
  <si>
    <t>2. Na célula B10 selecione a Unidade de medida utilizada.</t>
  </si>
  <si>
    <t>2. V polju B10 izberite uporabljeno mersko enoto</t>
  </si>
  <si>
    <t>2. En la celda B10 seleccione la Unidad de medida utilizada</t>
  </si>
  <si>
    <t>template_label_3_in_cell_c9_select_the_amount_of_fuel_used</t>
  </si>
  <si>
    <t>3. In cell C10 select the Amount of fuel used</t>
  </si>
  <si>
    <t>3. I celle C10 skal du vælge den anvendte mængde brændstof.</t>
  </si>
  <si>
    <t>3. Selecteer in cel C10 de hoeveelheid gebruikte brandstof</t>
  </si>
  <si>
    <t>3. Dans la cellule C10, sélectionnez la quantité de carburant utilisée.</t>
  </si>
  <si>
    <t>3. Wählen Sie in Zelle C10 die genutzte Brennstoffmenge aus.</t>
  </si>
  <si>
    <t>3. I gcill C10 roghnaigh an Méid breosla a úsáidtear</t>
  </si>
  <si>
    <t>3. Nella cella C10 selezionare la Quantità di combustibile utilizzata</t>
  </si>
  <si>
    <t>3. Langelyje C10 pasirinkite sunaudoto kuro kiekį</t>
  </si>
  <si>
    <t>3. W komórce C10 wybierz Ilość zużytego paliwa</t>
  </si>
  <si>
    <t>3. Na célula C10 selecione a Quantidade de combustível usado</t>
  </si>
  <si>
    <t>3. V polju C10 izberite Količina porabljenega goriva</t>
  </si>
  <si>
    <t>3. En la celda C10 seleccione la Cantidad de combustible utilizado</t>
  </si>
  <si>
    <t>template_label_4_in_cell_d9_it_is_displayed_the_state_of_matter_for_the_fuel_selected</t>
  </si>
  <si>
    <t>4. In cell D10 it is displayed the State of matter for the Fuel selected</t>
  </si>
  <si>
    <t>4. I celle D10 vises tilstanden for det valgte brændstof</t>
  </si>
  <si>
    <t>In cel D10 wordt de weergegeven voor de geselecteerde brandstof.</t>
  </si>
  <si>
    <t>4. La cellule D10 affiche l'état de la matière pour le carburant sélectionné.</t>
  </si>
  <si>
    <t xml:space="preserve">4. In Zelle D10 wird der Aggregatzustand des ausgewählten Brennstoffs angezeigt. </t>
  </si>
  <si>
    <t>4. I gcill D10 taispeántar Staid an ábhair don Bhreosla a roghnaíodh</t>
  </si>
  <si>
    <t xml:space="preserve">4. Nella cella D10 è visualizzato lo Stato della materia per il Combustibile selezionato
</t>
  </si>
  <si>
    <t>Langelyje D10 rodoma pasirinkto kuro būsena</t>
  </si>
  <si>
    <t>4. W komórce D10 wyświetlany jest stan skupienia dla wybranego paliwa</t>
  </si>
  <si>
    <t>4. Na célula D10 é mostrado o Estado físico do Combustível selecionado</t>
  </si>
  <si>
    <t>4. V polju D10 je prikazano agregatno stanje izbranega goriva.</t>
  </si>
  <si>
    <t>4. En la celda D10 se muestra el estado de la materia para el combustible seleccionado.</t>
  </si>
  <si>
    <t>template_label_5_in_cell_e9_it_is_displayed_the_typical_renewability_state_for_the_fuel_selected</t>
  </si>
  <si>
    <t>5. In cell E10 it is displayed the Typical renewability state for the Fuel selected</t>
  </si>
  <si>
    <t>5. I celle E10 vises den typiske fornybarhedstilstand for det valgte brændstof</t>
  </si>
  <si>
    <t xml:space="preserve">In cel E10 wordt de typische hernieuwbaarheidstoestand voor de geselecteerde brandstof weergegeven.
</t>
  </si>
  <si>
    <t>5. La cellule E10 affiche le caractère renouvelable typique du carburant sélectionné.</t>
  </si>
  <si>
    <t>5. In Zelle E10 wird die typischeErneuerbarkeit für den ausgewählten Brennstoff angezeigt.</t>
  </si>
  <si>
    <t>5. I gcill E10 taispeántar an staid in-athnuaite tipiciúil don Bhreosla roghnaithe</t>
  </si>
  <si>
    <t xml:space="preserve">5. Nella cella E10 è indicato lo stato tipico di rinnovabilità per il Combustibile selezionato
</t>
  </si>
  <si>
    <t>5. Langelyje E10 rodoma pasirinkto kuro tipinė atsinaujinamumo būsena.</t>
  </si>
  <si>
    <t>5 W komórce E10 wyświetlany jest Typowy stan odnawialności dla wybranego paliwa</t>
  </si>
  <si>
    <t>5. Na célula E10 é exibido o estado típico de renovabilidade para o combustível selecionado.</t>
  </si>
  <si>
    <t>5. V polju E10 je prikazano tipično stanje obnovljivosti za izbrano gorivo.</t>
  </si>
  <si>
    <t>5. En la celda E10 se muestra el carácter renovable típico para el combustible seleccionado.</t>
  </si>
  <si>
    <t>template_label_6_in_cell_f9_is_displayed_the_energy_produced_in_mega_watt_hours_by_the_amount_of_fuel_specified</t>
  </si>
  <si>
    <t>6. In cell F10 is displayed the Energy produced in Mega Watt hours by the Amount of Fuel specified</t>
  </si>
  <si>
    <t>6. I celle F10 vises energien produceret megawatt-timer, baseret på den specificerede mængde brændstof</t>
  </si>
  <si>
    <t>In cel F10 wordt de energie weergegeven die in Megawattuur is geproduceerd door de opgegeven hoeveelheid brandstof.</t>
  </si>
  <si>
    <t>6. La cellule F10 affiche l'énergie produite, en méga wattheures (MWh), par la quantité de carburant spécifiée.</t>
  </si>
  <si>
    <t>6. In Zelle F10 wird die in Megawattstunden erzeugte Energie basierend auf der angegebenen Brennstoffmenge angezeigt.</t>
  </si>
  <si>
    <t>6. I gcill F10 taispeántar an Fuinneamh a tháirgtear in uair an chloig Mega Watt de réir an Méid Breosla a shonraítear</t>
  </si>
  <si>
    <t xml:space="preserve">6. Nella cella F10 è visualizzata l'energia prodotta in Megawatt-ora per la quantità di combustibile specificata
</t>
  </si>
  <si>
    <t>Langelyje F10 pateikiama energija, pagaminta megavatvalandėmis pagal nurodytą degalų kiekį.</t>
  </si>
  <si>
    <t>6. W komórce F10 wyświetlana jest energia wyprodukowana w megawatogodzinach (MWh) przez określoną ilość paliwa</t>
  </si>
  <si>
    <t>6. Na célula F10 é exibida a Energia produzida em Megawatts-hora pela Quantidade de Combustível especificada</t>
  </si>
  <si>
    <t>6. V polju F10 je prikazana energija, proizvedena v megavatnih urah z določeno količino goriva.</t>
  </si>
  <si>
    <t>6. En la celda F10 se muestra la Energía producida en Mega Vatios hora por la Cantidad de Combustible especificada</t>
  </si>
  <si>
    <t>template_label_7_in_cell_a28_is_displayed_the_total_energy_in_mega_watt_hours</t>
  </si>
  <si>
    <t>7. In cell A29 is displayed the Total Energy in Mega Watt hours</t>
  </si>
  <si>
    <t>7. I celle A29 vises den samlede mængde energi i Megawatt-timer</t>
  </si>
  <si>
    <t>In cel A29 wordt het totale energieverbruik in megawattuur weergegeven.</t>
  </si>
  <si>
    <t>7. La cellule A29 affiche l’énergie totale en mégawattheures (MWh).</t>
  </si>
  <si>
    <t>7. In Zelle A29 wird der Gesamtenergieverbrauch in Megawattstunden angezeigt.</t>
  </si>
  <si>
    <t>7. I gcill A29 taispeántar an Fuinneamh Iomlán in uair an chloig Mega Watt</t>
  </si>
  <si>
    <t>7. Nella cella A29 è visualizzato il Consumo totale di energia in Megawatt-ora</t>
  </si>
  <si>
    <t>Langelyje A29 pateikiama bendroji energija megavatvalandėmis</t>
  </si>
  <si>
    <t>7. W komórce A29 wyświetlana jest całkowita energia w megawatogodzinach</t>
  </si>
  <si>
    <t>7. Em A29 é apresentada a Energia Total em Megawatt-hora</t>
  </si>
  <si>
    <t>7. V polju A29 je prikazana skupna energija v megavatnih urah.</t>
  </si>
  <si>
    <t>7. En la celda A29 se muestra la Energía Total en Mega Vatios hora</t>
  </si>
  <si>
    <t>template_label_8_in_cell_a31_is_displayed_the_total_renewable_energy_in_mega_watt_hours</t>
  </si>
  <si>
    <t>8. In cell A32 is displayed the Total Renewable Energy in Mega Watt hours</t>
  </si>
  <si>
    <t>8. I celle A32 vises den samlede mængde vedvarende energi i Megawatt-timer</t>
  </si>
  <si>
    <t xml:space="preserve">In cel A32 wordt het totale hernieuwbare energieverbruik weergegeven in Megawattuur
</t>
  </si>
  <si>
    <t>8. La cellule A32 affiche l’énergie renouvelable totale en mégawattheures (MWh).</t>
  </si>
  <si>
    <t>8. In Zelle A32 wird die gesamte erneuerbare Energie in Megawattstunden angezeigt.</t>
  </si>
  <si>
    <t>8. I gcill A32 taispeántar an Fuinneamh In-athnuaite Iomlán in uair an chloig Mega Watt</t>
  </si>
  <si>
    <t>8. Nella cella A32 è visualizzato il Totale Energia Rinnovabile in Megawatt-ora</t>
  </si>
  <si>
    <t>Langelyje A32 rodoma bendro atsinaujinančios energijos, išreikštos megavatvalandėmis, suma.</t>
  </si>
  <si>
    <t>8. W komórce A32 wyświetlana jest całkowita energia odnawialna w megawatogodzinach</t>
  </si>
  <si>
    <t>8. Na célula A32 está exibida a Energia Renovável Total em Mega Watt horas</t>
  </si>
  <si>
    <t>8. V polju A32 je prikazana skupna obnovljiva energija v megavatnih urah.</t>
  </si>
  <si>
    <t>8. En la celda A32 se muestra la Energía Renovable Total en Megavatios hora</t>
  </si>
  <si>
    <t>template_label_9_in_cell_b31_is_displayed_the_total_nonrenewable_energy_in_mega_watt_hours</t>
  </si>
  <si>
    <t>9. In cell B32 is displayed the Total Non-renewable Energy in Mega Watt hours</t>
  </si>
  <si>
    <t xml:space="preserve">9. I celle B32 vises den samlede mængde  ikkefornybare energi i Megawatt-timer </t>
  </si>
  <si>
    <t>In cel B32 wordt het totaal van niet-hernieuwbare energie weergegeven in Megawattuur.</t>
  </si>
  <si>
    <t>9. La cellule B32 affiche l’énergie non renouvelable totale en mégawattheures (MWh).</t>
  </si>
  <si>
    <t xml:space="preserve">In Zelle B32 wird die gesamte nicht erneuerbare Energie in Megawattstunden angezeigt. </t>
  </si>
  <si>
    <t>9. I gcill B32 taispeántar an Fuinneamh Neamh-inathnuaite Iomlán in uaireanta Mega Watt</t>
  </si>
  <si>
    <t>9. Nella cella B32 è visualizzato il Totale Energia Non Rinnovabile in Megawatt-ora</t>
  </si>
  <si>
    <t>Langelyje B32 rodoma bendroji neatsinaujinančios energijos suma megavatvalandėmis (MWh)</t>
  </si>
  <si>
    <t>9. W komórce B32 wyświetlana jest całkowita energia nieodnawialna w megawatogodzinach</t>
  </si>
  <si>
    <t>9. Na célula B32 é exibido o Total de Energia Não Renovável em Mega Watt hora</t>
  </si>
  <si>
    <t>9. V polju B32 je prikazana skupna energija iz obnovljivih virov v megavatnih urah.</t>
  </si>
  <si>
    <t>9. En la celda B32 se muestra la Energía No Renovable Total en Megavatios hora</t>
  </si>
  <si>
    <t>template_label_10_further_notes_can_be_found_below</t>
  </si>
  <si>
    <t>10. Further notes can be found below</t>
  </si>
  <si>
    <t>10. Yderligere bemærkninger kan findes nedenfor</t>
  </si>
  <si>
    <t>10. Verdere opmerkingen kunnen hieronder worden gevonden</t>
  </si>
  <si>
    <t>10. Des notes complémentaires sont disponibles ci-dessous.</t>
  </si>
  <si>
    <t>10. Weitere Anmerkungen siehe unten</t>
  </si>
  <si>
    <t>10. Is féidir nótaí breise a fháil thíos</t>
  </si>
  <si>
    <t>10. Ulteriori note sono riportate di seguito</t>
  </si>
  <si>
    <t>10. Priklausomai nuo įmonės vykdomos veiklos rūšies, tikslinga įtraukti į šį standartą neįtrauktą papildomą informaciją (parametrus ir (arba) aprašomąją atskleistiną informaciją), kad būtų galima atskleisti tvarumo klausimus, dažnai pasitaikančius įmonės sektoriuje (t. y. tuos, su kuriais paprastai susiduria įmonės ar subjektai, veikiantys konkrečiame sektoriuje ar srityje) arba būdingus būtent šiai įmonei, nes tai padeda parengti aktualią, tikslią, palyginamą, suprantamą ir patikrinamą informaciją. Tai apima ir svarstymą, ar reikia atskleisti informaciją apie išmestą 3 lygio ŠESD kiekį (žr. šio standarto 50–53 straipsnius). B priedėlyje pateikiamas galimų tvarumo klausimų sąrašas.</t>
  </si>
  <si>
    <t>10. Dalsze uwagi można znaleźć poniżej</t>
  </si>
  <si>
    <t>10. Notas adicionais podem ser encontradas abaixo</t>
  </si>
  <si>
    <t>10. Nadaljnje opombe so na voljo spodaj</t>
  </si>
  <si>
    <t>10. Más notas se pueden encontrar a continuación</t>
  </si>
  <si>
    <t>template_label_transfer_the_total_results_to_the_b3_fuel_energy_consumption_reporting_cell</t>
  </si>
  <si>
    <t>Transfer the total calculated results to the B3 "Fuel Energy Consumption" reporting cell</t>
  </si>
  <si>
    <t>Overfør de samlede beregnede resultater til B3's rapporteringsfelt "Energiforbrug af brændstof"</t>
  </si>
  <si>
    <t>Draag de totaal berekende resultaten over naar de B3-rapportagecel "Brandstoffen Energieverbruik"</t>
  </si>
  <si>
    <t>Transférez les résultats totaux calculés dans la cellule B3 « Consommation d’énergie des carburants » du rapport.</t>
  </si>
  <si>
    <t>Übertragen Sie die berechneten Gesamtergebnisse in die Berichts-Zelle B3 „Brennstoffenergieverbrauch“</t>
  </si>
  <si>
    <t>Aistrigh na torthaí ríofa iomlána chuig an gcill tuairiscithe B3 "Tomhaltas Fuinnimh Breosla"</t>
  </si>
  <si>
    <t>Trasferire i risultati totali calcolati alla cella di B3 "Consumo di energia da combustibili"</t>
  </si>
  <si>
    <t>Perkelkite bendrą apskaičiuotą rezultatą į B3 „Kuro energijos suvartojimas“ ataskaitos langelį</t>
  </si>
  <si>
    <t>Przenieś całkowite obliczone wyniki do komórki B3 Zużycie energii paliwowej</t>
  </si>
  <si>
    <t>Transfira o total dos resultados calculados para a célula de relatório B3 "Consumo de Energia de Combustíveis"</t>
  </si>
  <si>
    <t>Prenesite skupne izračunane rezultate v polje B3 "Poraba energije goriva".</t>
  </si>
  <si>
    <t>Transfiera los resultados totales calculados a la celda de reporte B3 "Consumo de Energía por Combustible"</t>
  </si>
  <si>
    <t>template_label_total_energy</t>
  </si>
  <si>
    <t>Total Energy [MWh]</t>
  </si>
  <si>
    <t>Samlet energi (MWh)</t>
  </si>
  <si>
    <t>Totaal energieverbruik [MWh]</t>
  </si>
  <si>
    <t>Consommation d’énergie totale [MWh]</t>
  </si>
  <si>
    <t>Gesamtenergie [MWh]</t>
  </si>
  <si>
    <t>Fuinneamh Iomlán [MWh]</t>
  </si>
  <si>
    <t>Totale consumo di energia [MWh]</t>
  </si>
  <si>
    <t>Bendra energija [MWh]</t>
  </si>
  <si>
    <t>Całkowita energia [MWh]</t>
  </si>
  <si>
    <t>Energia Total [MWh]</t>
  </si>
  <si>
    <t>Skupna energija [MWh]</t>
  </si>
  <si>
    <t>Consumo total de energía [MWh]</t>
  </si>
  <si>
    <t>template_label_total_renewable_energy</t>
  </si>
  <si>
    <t>Total Renewable Energy [MWh]</t>
  </si>
  <si>
    <t xml:space="preserve">
Samlet vedvarende energi (MWh) 
</t>
  </si>
  <si>
    <t>Totaal hernieuwbare energie [MWh]</t>
  </si>
  <si>
    <t>Énergie renouvelable totale [MWh]</t>
  </si>
  <si>
    <t>Gesamte erneuerbare Energien [MWh]</t>
  </si>
  <si>
    <t>Fuinneamh In-athnuaite Iomlán [MWh]</t>
  </si>
  <si>
    <t>Totale consumo di energia rinnovabile [MWh]</t>
  </si>
  <si>
    <t>Atsinaujinančiųjų išteklių energija (MWh)</t>
  </si>
  <si>
    <t>Całkowita energia odnawialna [MWh]</t>
  </si>
  <si>
    <t>Consumo Total de Energia Renovável [MWh]</t>
  </si>
  <si>
    <t>Skupna energija iz obnovljivih virov [MWh]</t>
  </si>
  <si>
    <t>Consumo total de energía renovable [MWh]</t>
  </si>
  <si>
    <t>template_label_total_nonrenewable_energy</t>
  </si>
  <si>
    <t>Total Non-renewable Energy [MWh]</t>
  </si>
  <si>
    <t>Samlet ikke-vedvarened energi [MWh]</t>
  </si>
  <si>
    <t>Totaal verbruik niet-hernieuwbare energie [MWh]</t>
  </si>
  <si>
    <t>Consommation d’énergie non renouvelable [MWh]</t>
  </si>
  <si>
    <t>Gesamte nicht erneuerbare Energien [MWh]</t>
  </si>
  <si>
    <t>Fuinneamh Neamh-inathnuaite Iomlán [MWh]</t>
  </si>
  <si>
    <t>Totale consumo di energia non rinnovabile [MWh]</t>
  </si>
  <si>
    <t>Bendras neatsinaujinančios energijos suvartojimas [MWh]</t>
  </si>
  <si>
    <t>Całkowita energia nieodnawialna [MWh]</t>
  </si>
  <si>
    <t>Consumo total de energia não renovável [MWh]</t>
  </si>
  <si>
    <t>Skupna energija iz neobnovljivih virov [MWh]</t>
  </si>
  <si>
    <t>Consumo de energías no renovables [MWh]</t>
  </si>
  <si>
    <t>template_label_further_notes</t>
  </si>
  <si>
    <t>Further notes:</t>
  </si>
  <si>
    <t>Yderligere bemærkninger:</t>
  </si>
  <si>
    <t>Verdere opmerkingen:</t>
  </si>
  <si>
    <t>Notes complémentaires :</t>
  </si>
  <si>
    <t>Weitere Hinweise:</t>
  </si>
  <si>
    <t>Nótaí breise:</t>
  </si>
  <si>
    <t>Ulteriori note:</t>
  </si>
  <si>
    <t>Tolimesnės pastabos:</t>
  </si>
  <si>
    <t>Dalsze uwagi:</t>
  </si>
  <si>
    <t>Notas adicionais:</t>
  </si>
  <si>
    <t>Nadaljnje opombe:</t>
  </si>
  <si>
    <t>Notas adicionales:</t>
  </si>
  <si>
    <t>template_label_the_converter_offers_the_possibility_of_calculating_simultaneously_up_to_10_different_types_of_fuel</t>
  </si>
  <si>
    <t>The converter offers the possibility of calculating simultaneously up to 10 different types of fuel. To do this please expand the hidden columns using the plus icon on the top of the document.
Each expanded fuel converter works exactly as explained above.
It’s important to note that the automatic calculation performed by the Fuel Converter is done using NCVs and Densities that are typical for that specific type of fuel. If the undertaking is able to provide the specific NCVs and Densities of the Fuels used, there is the possibility to calculate the Energy Consumption per Hour in MWh embedding the specific values in the formulas that are automatized in the Fuel Converter sheet.
Below there are the formulas, just in case the solution of a not-automatized calculation using specific values is preferred to the one of the Converter. If you need to convert the Unit of Measurement of your specific measures, please use the Unit of Measurement Converter.</t>
  </si>
  <si>
    <t>Konverteren tilbyder muligheden for at beregne op til 10 forskellige typer brændstof samtidigt. For at gøre dette, udvid venligst de skjulte kolonner ved at bruge plus-ikonet øverst i dokumentet.
Hver udvidet brændstofkonverter fungerer præcist som forklaret ovenfor.
Det er vigtigt at bemærke, at den automatiske beregning, der udføres af Brændstofkonverteren, foretages ved hjælp af NCV'er og Densiteter, som er typiske for denne specifikke type brændstof. Hvis virksomheden er i stand til at levere de specifikke NCV'er og densiteter for de anvendte brændstoffer, er der mulighed for at beregne energiforbruget per time i MWh ved at indarbejde de specifikke værdier i formlerne, som er automatiserede i Brændstofkonverter-arket.
Nedenfor findes formlerne, hvis beregning med specifikke værdier i stedet for  Brændstofskonverteren foretrækkes. Hvis du har brug for at omregne måleenheden for dine specifikke målinger, skal du bruge Måleenheds-konverteren.</t>
  </si>
  <si>
    <t xml:space="preserve">De converter biedt de mogelijkheid om gelijktijdig tot 10 verschillende soorten brandstof te berekenen. Doe dit door de verborgen kolommen uit te klappen met behulp van het pluspictogram bovenaan het document.
Elke uitgeklapte brandstofconverter werkt precies zoals hierboven uitgelegd.
Het is belangrijk op te merken dat de automatische berekening die door de Brandstofconverter wordt uitgevoerd, wordt gedaan met behulp van NCV's en dichtheden die typisch zijn voor dat specifieke type brandstof. Als de onderneming in staat is om de specifieke NCV's en dichtheden van de gebruikte brandstoffen te leveren, bestaat de mogelijkheid om het energieverbruik per uur in MWh te berekenen door de specifieke waarden in de formules te verwerken die geautomatiseerd zijn in het tabblad Brandstofconverter.
Hieronder staan de formules, voor het geval een niet-geautomatiseerde berekening met specifieke waarden de voorkeur heeft boven die van de converter. Als u de eenheid van meting van uw specifieke maten moet omrekenen, gebruik dan de  Meeteenheidconverter.
</t>
  </si>
  <si>
    <t>Le convertisseur offre la possibilité de calculer simultanément jusqu’à 10 types de carburants différents. Pour ce faire, veuillez développer les colonnes masquées en utilisant l’icône « plus » située en haut du document.
Chaque convertisseur de carburant développé fonctionne exactement comme expliqué ci-dessus.
Il est important de noter que le calcul automatique effectué par le convertisseur de carburants utilise des valeurs de pouvoir calorifique net (PCN) et de densité typiques pour chaque type de combustible. Si l’entreprise est en mesure de fournir les PCN et densités spécifiques des combustibles utilisés, il est possible de calculer la consommation d’énergie par heure en MWh en intégrant ces valeurs spécifiques dans les formules automatisées de la feuille du convertisseur.
Ci-dessous, les formules sont fournies au cas où une solution de calcul non automatisée, utilisant des valeurs spécifiques, serait préférée à celle du convertisseur. Si vous devez convertir l’unité de mesure de vos valeurs spécifiques, veuillez utiliser le convertisseur d’unités de mesure.</t>
  </si>
  <si>
    <t>Der Umrechner bietet die Möglichkeit, gleichzeitig bis zu 10 verschiedene Brennstoffarten zu berechnen. Bitte erweitern Sie dazu die ausgeblendeten Spalten mit dem Plus-Symbol oben im Dokument. Jeder ausgeklappte Brennstoffumrechner funktioniert genau wie oben beschrieben.
Es ist wichtig zu beachten, dass die automatische Berechnung durch den Brennstoffumrechner mit unteren Heizwerten (NCVs) und Dichten erfolgt, die typisch für den jeweiligen Brennstofftyp sind. Wenn das Unternehmen in der Lage ist, die spezifischen unteren Heizwerte und Dichten der verwendeten Brennstoffe bereitzustellen, besteht die Möglichkeit, den Energieverbrauch pro Stunde in MWh zu berechnen, indem die spezifischen Werte in die Formeln eingefügt werden, die im Tabellenblatt des Brennstoffumrechners automatisiert sind.
Unten finden Sie die Formeln, falls eine nicht automatisierte Berechnung mit spezifischen Werten dem Umrechner vorgezogen wird. Wenn Sie die Maßeinheit Ihrer spezifischen Messungen umrechnen müssen, verwenden Sie bitte den Einheitenumrechner.</t>
  </si>
  <si>
    <t>Tugann an tiontaire an deis suas le 10 gcineál éagsúla breosla a ríomh ag an am céanna. Chun seo a dhéanamh, leathnaigh na colúin fholaithe le do thoil ag baint úsáide as an deilbhín móide ar bharr an doiciméid.                                                                                                             Oibríonn gach tiontaire breosla leathnaithe díreach mar a mhínítear thuas.                                                                                                                                          Tá sé tábhachtach a thabhairt faoi deara go ndéantar an ríomh uathoibríoch a dhéanann an Tiontaire Breosla ag baint úsáide as NCVanna agus Dlúis atá tipiciúil don chineál sonrach breosla sin. Má tá an gnóthas in ann NCVanna sonracha agus Dlúis na mBreoslaí a úsáidtear a sholáthar, tá an fhéidearthacht ann an Tomhaltas Fuinnimh in aghaidh na hUaireanta a ríomh i MWh agus na luachanna sonracha a leabú sna foirmlí atá uathoibrithe sa bhileog Tiontaire Breosla. Tá na foirmlí thíos, ach i gcás go bhfuil an réiteach ar ríomh neamh-uathoibrithe ag baint úsáide as luachanna sonracha níos fearr ná ceann an tiontaire. Más gá duit Aonad Tomhais do bhearta sonracha a thiontú, bain úsáid as an Tiontaire Aonaid Tomhais le do thoil.</t>
  </si>
  <si>
    <t xml:space="preserve">Il convertitore offre la possibilità di calcolare simultaneamente fino a 10 diversi tipi di combustibile. Per fare ciò, si prega di espandere le colonne nascoste utilizzando l'icona più in cima al documento.
Ogni convertitore di combustibile espanso funziona esattamente come spiegato sopra.
È importante notare che il calcolo automatico effettuato dal Convertitore di Combustibile utilizza i PCN (Poteri Calorifici Netti) e le Densità tipiche per quel particolare tipo di combustibile. Se l'impresa è in grado di fornire i PCN e le Densità specifiche dei combustibili utilizzati, è possibile calcolare il Consumo di energia orario in MWh incorporando i valori specifici nelle formule automatizzate nel foglio del Convertitore di Combustibile.
Di seguito sono riportate le formule, nel caso in cui si preferisca una soluzione di calcolo non automatizzata utilizzando valori specifici rispetto a quella del Convertitore. Se è necessario convertire l'Unità di Misura delle vostre misure specifiche, si prega di utilizzare il Convertitore di Unità di Misura. 
</t>
  </si>
  <si>
    <t xml:space="preserve">Įrankis siūlo galimybę vienu metu apskaičiuoti iki 10 skirtingų kuro rūšių. Norėdami tai padaryti, išplėskite paslėptas stulpelius naudodami pliuso piktogramą dokumento viršuje.
Kiekvienas išplėstas kuro įrankis veikia tiksliai taip, kaip aprašyta aukščiau.
Svarbu pažymėti, kad automatinis kuro konverterio atliktas skaičiavimas naudojant tipinius tos kuro rūšies NCV ir tankius. Jei įmonė gali pateikti konkrečius naudojamų kuro šaltinių NCV ir tankius, yra galimybė apskaičiuoti energijos suvartojimą per valandą (MWh), integruojant konkrečias vertes į formules, kurios yra automatizuotos kuro konverterio lape.
Žemiau pateiktos formulės tuo atveju, jei pageidaujama naudoti neautomatizuotą skaičiavimą su konkrečiomis vertėmis, o ne konverterio sprendimą. Jei jums reikia konvertuoti specifinių matavimų matavimo vienetus, naudokite matavimo vienetų įrankį. 
</t>
  </si>
  <si>
    <t>Konwerter oferuje możliwość jednoczesnego obliczania do 10 różnych rodzajów paliw. Aby to zrobić, proszę rozwinąć ukryte kolumny, korzystając z ikony plusa u góry dokumentu.
Każdy rozwinięty konwerter paliw działa dokładnie tak, jak wyjaśniono powyżej. 
Ważne jest, aby zauważyć, że automatyczne obliczenia wykonywane przez Konwerter Paliw są dokonywane przy użyciu wartości kalorycznej netto (NCV) i Gęstości, które są typowe dla danego rodzaju paliwa. Jeśli jednostka jest w stanie dostarczyć konkretne wartości NCV i gęstości używanych paliw, istnieje możliwość obliczenia Zużycia energii na godzinę w MWh, uwzględniając konkretne wartości w formułach zautomatyzowanych w arkuszu Konwertera Paliw.
Poniżej znajdują się formuły, na wypadek gdyby preferowane było rozwiązanie obliczeń niestandardowych, nieautomatycznych, z wykorzystaniem specyficznych wartości zamiast korzystania z Konwertera. Jeśli potrzebujesz przeliczyć jednostki miary swoich konkretnych wielkości, proszę użyj Konwertera Jednostek Miary.</t>
  </si>
  <si>
    <t>O conversor oferece a possibilidade de calcular simultaneamente até 10 tipos diferentes de combustível. Para isso, por favor expanda as colunas ocultas utilizando o ícone de mais no topo do documento.
Cada conversor de combustível expandido funciona exatamente como explicado acima.
É importante notar que o cálculo automático realizado pelo Conversor de Combustível é feito utilizando os PCI e Densidades típicos para aquele tipo específico de combustível. Se a empresa for capaz de fornecer os PCI e Densidades específicos dos combustíveis utilizados, há a possibilidade de calcular o Consumo de Energia por Hora em MWh incorporando os valores específicos nas fórmulas automatizadas na folha do Conversor de Combustível.
Abaixo estão as fórmulas, caso a solução de um cálculo não automatizado usando valores específicos seja preferida à do Conversor. Se precisar converter a Unidade de Medida das suas medições específicas, por favor utilize o Conversor de Unidade de Medida.</t>
  </si>
  <si>
    <t>Pretvornik ponuja možnost hkratnega izračuna do 10 različnih vrst goriva. Če želite to narediti, razširite skrite stolpce z ikono plus na vrhu dokumenta. Vsak razširjen pretvornik goriva deluje natanko tako, kot je razloženo zgoraj. Pomembno je omeniti, da se samodejni izračun, ki ga izvaja pretvornik goriva, opravi z uporabo kurilnih vrednosti in gostot, ki so značilne za to določeno vrsto goriva. Če podjetje lahko zagotovi specifične kurilne vrednosti in gostote uporabljenih goriv, obstaja možnost izračuna porabe energije na uro v MWh z vdelavo specifičnih vrednosti v formule, ki so avtomatizirane na listu pretvornika goriva. Spodaj so formule, če je rešitev neavtomatiziranega izračuna z uporabo specifičnih vrednosti boljša od tiste, ki jo uporablja pretvornik. Če morate pretvoriti mersko enoto vaših specifičnih meritev, uporabite pretvornik merskih enot.</t>
  </si>
  <si>
    <t xml:space="preserve">El convertidor ofrece la posibilidad de calcular simultáneamente hasta 10 tipos diferentes de combustible. Para hacerlo, por favor expanda las columnas ocultas utilizando el icono de más en la parte superior del documento.
Cada convertidor de combustible expandido funciona exactamente como se explicó anteriormente.
Es importante tener en cuenta que el cálculo automático realizado por el Convertidor de Combustible se lleva a cabo utilizando los Poderes Caloríficos Netos (PCN) y Densidades que son típicos para ese tipo específico de combustible. Si la entidad puede proporcionar los PCN y las Densidades específicas de los Combustibles utilizados, existe la posibilidad de calcular el Consumo Energético por Hora en MWh incorporando los valores específicos en las fórmulas que están automatizadas en la hoja del Convertidor de Combustible.
A continuación, se presentan las fórmulas, por si se prefiere la solución de un cálculo no automatizado usando valores específicos en lugar del Convertidor. Si necesita convertir la Unidad de Medida de sus medidas específicas, por favor utilice el Convertidor de Unidad de Medida.
</t>
  </si>
  <si>
    <t>template_label_energy_consumption_per_hour_in_mwh_for_solid_fuels</t>
  </si>
  <si>
    <t>Energy Consumption per Hour in MWh for Solid Fuels:</t>
  </si>
  <si>
    <t>Energiforbrug per time i MWh for faste brændstoffer:</t>
  </si>
  <si>
    <t>Energieverbruik per uur in MWh voor vaste brandstoffen:</t>
  </si>
  <si>
    <t>Consommation d'énergie par heure en MWh pour les combustibles solides :</t>
  </si>
  <si>
    <t>Energieverbrauch pro Stunde in MWh für feste Brennstoffe:</t>
  </si>
  <si>
    <t>Tomhaltas fuinnimh in aghaidh na huaire i MWh le haghaidh breoslaí soladacha:</t>
  </si>
  <si>
    <t>Consumo di energia orario in MWh per combustibili solidi:</t>
  </si>
  <si>
    <t>Kietojo kuro energijos suvartojimas per valandą (MWh):</t>
  </si>
  <si>
    <t>Zużycie energii na godzinę w MWh dla paliw stałych:</t>
  </si>
  <si>
    <t>Consumo de Energia por Hora em MWh para Combustíveis Sólidos:</t>
  </si>
  <si>
    <t>Poraba energije na uro v MWh za trdna goriva:</t>
  </si>
  <si>
    <t>Consumo de energía por hora en MWh para combustibles sólidos:</t>
  </si>
  <si>
    <t>template_label_energy_solid_fuels</t>
  </si>
  <si>
    <t>Energy [MWh] = Mass [t] * NCV [MWh/t]</t>
  </si>
  <si>
    <t>Energi [MWh] = Masse [t] * NCV [MWh/t]</t>
  </si>
  <si>
    <t>Energie [MWh] = Massa [t] * NCV [MWh/t]</t>
  </si>
  <si>
    <t>Énergie [MWh] = Masse [t] * PCN [MWh/t]</t>
  </si>
  <si>
    <t>Energie [MWh] = Masse [t] * NCV [MWh/t]</t>
  </si>
  <si>
    <t>Fuinneamh [MWh] = Mais [t] * NCV [MWh/t]</t>
  </si>
  <si>
    <t>Energia [MWh] = Massa [t] * PCN [MWh/t]</t>
  </si>
  <si>
    <t>Energija [MWh] = Masė [t] * NCV [MWh/t]</t>
  </si>
  <si>
    <t>Energia [MWh] = Masa [t] * NCV [MWh/t]</t>
  </si>
  <si>
    <t>Energia [MWh] = Massa [t] * PCI [MWh/t]</t>
  </si>
  <si>
    <t>Energija [MWh] = Masa [t] * NCV [MWh/t]</t>
  </si>
  <si>
    <t xml:space="preserve">Energía [MWh] = Masa [t] * PCI [MWh/t] 
</t>
  </si>
  <si>
    <t>template_label_energy_consumption_per_hour_in_mwh_for_liquid_fuels</t>
  </si>
  <si>
    <t>Energy Consumption per Hour in MWh for Liquid Fuels:</t>
  </si>
  <si>
    <t>Energiforbrug pr. time i MWh for flydende brændstoffer:</t>
  </si>
  <si>
    <t>Energieverbruik per uur in MWh voor vloeibare brandstoffen:</t>
  </si>
  <si>
    <t>Consommation d'énergie par heure en MWh pour les combustibles liquides :</t>
  </si>
  <si>
    <t>Energieverbrauch pro Stunde in MWh für flüssige Brennstoffe:</t>
  </si>
  <si>
    <t>Tomhaltas fuinnimh in aghaidh na huaire i MWh le haghaidh breoslaí leachtacha:</t>
  </si>
  <si>
    <t>Consumo di energia orario in MWh per combustibili liquidi:</t>
  </si>
  <si>
    <t>Skystųjų degalų energijos suvartojimas per valandą MWh:</t>
  </si>
  <si>
    <t>Zużycie energii na godzinę w MWh dla paliw ciekłych:</t>
  </si>
  <si>
    <t>Consumo de Energia por Hora em MWh para Combustíveis Líquidos:</t>
  </si>
  <si>
    <t>Poraba energije na uro v MWh za tekoča goriva:</t>
  </si>
  <si>
    <t>Consumo de energía por hora en MWh para combustibles líquidos:</t>
  </si>
  <si>
    <t>template_label_mass_liquid_fuels</t>
  </si>
  <si>
    <t>Mass [t] = Volume [L] * Density [t/L]</t>
  </si>
  <si>
    <t>Masse [t] = Volumen [L] * Densitet [t/L]</t>
  </si>
  <si>
    <t>Massa [t] = Volume [L] * Dichtheid [t/L]</t>
  </si>
  <si>
    <t>Masse [t] = Volume [L] * Densité [t/L]</t>
  </si>
  <si>
    <t>Masse [t] = Volumen [L] * Dichte [t/L]</t>
  </si>
  <si>
    <t>Mais [t] = Toirt [L] * Dlús [t / L]</t>
  </si>
  <si>
    <t>Massa [t] = Volume [L] * Densità [t/L]</t>
  </si>
  <si>
    <t>Masė [t] = Tūris [L] * Tankis [t/L]</t>
  </si>
  <si>
    <t>Masa [t] = Objętość [L] * Gęstość [t/L]</t>
  </si>
  <si>
    <t>Massa [t] = Volume [L] * Densidade [t/L]</t>
  </si>
  <si>
    <t>Masa [t] = Prostornina [L] * Gostota [t/L]</t>
  </si>
  <si>
    <t>Masa [t] = Volumen [L] * Densidad [t/L]</t>
  </si>
  <si>
    <t>template_label_energy_liquid_fuels</t>
  </si>
  <si>
    <t>Energy [MWh] = Mass [t] * [MWh/t]</t>
  </si>
  <si>
    <t>Energi [MWh] = Masse [t] * [MWh/t]</t>
  </si>
  <si>
    <t>Energie [MWh] = Massa [t] * [MWh/t]</t>
  </si>
  <si>
    <t>Énergie [MWh] = Masse [t] * [MWh/t]</t>
  </si>
  <si>
    <t xml:space="preserve">Energie [MWh] = Masse [t] * NCV [MWh/t] </t>
  </si>
  <si>
    <t>Fuinneamh [MWh] = Mais [t] * [MWh/t]</t>
  </si>
  <si>
    <t>Energia [MWh] = Massa [t] * [MWh/t]</t>
  </si>
  <si>
    <t>Energija [MWh] = Masė [t] * [MWh/t]</t>
  </si>
  <si>
    <t>Energia [MWh] = Masa [t] * [MWh/t]</t>
  </si>
  <si>
    <t>Energija [MWh] = Masa [t] * [MWh/t]</t>
  </si>
  <si>
    <t>Energía [MWh] = Masa [t] * [MWh/t]</t>
  </si>
  <si>
    <t>template_label_energy_consumption_per_hour_in_mwh_for_gaseous_fuels</t>
  </si>
  <si>
    <t>Energy Consumption per Hour in MWh for Gaseous Fuels:</t>
  </si>
  <si>
    <t>Energiforbrug pr. time i MWh for gasformige brændstoffer:</t>
  </si>
  <si>
    <t>Energieverbruik per uur in MWh voor gasvormige brandstoffen:</t>
  </si>
  <si>
    <t>Consommation d'énergie par heure en MWh pour les combustibles gazeux :</t>
  </si>
  <si>
    <t>Energieverbrauch pro Stunde in MWh für gasförmige Brennstoffe:</t>
  </si>
  <si>
    <t>Tomhaltas fuinnimh in aghaidh na huaire i MWh le haghaidh breoslaí gásacha:</t>
  </si>
  <si>
    <t>Consumo di energia orario in MWh per gas combustibili:</t>
  </si>
  <si>
    <t>Energijos suvartojimas per valandą MWh dujiniams kurams:</t>
  </si>
  <si>
    <t>Zużycie energii na godzinę w MWh dla paliw gazowych:</t>
  </si>
  <si>
    <t>Consumo de Energia por Hora em MWh para Combustíveis Gasosos:</t>
  </si>
  <si>
    <t>Poraba energije na uro v MWh za plinasta goriva:</t>
  </si>
  <si>
    <t>Consumo de energía por hora en MWh para combustibles gaseosos:</t>
  </si>
  <si>
    <t>template_label_mass_gaseous_fuels</t>
  </si>
  <si>
    <t>Mass [t] = Volume [m³] * Density [t/m³]</t>
  </si>
  <si>
    <t>Masse [t] = Volumen [m³] * Densitet [t/m³]</t>
  </si>
  <si>
    <t>Massa [t] = Volume [m³] * Dichtheid [t/m³]</t>
  </si>
  <si>
    <t>Masse [t] = Volume [m³] * Densité [t/m³]</t>
  </si>
  <si>
    <t>Masse [t] = Volumen [m³] * Dichte [t/m³]</t>
  </si>
  <si>
    <t>Mais [t] = Toirt [m³] * Dlús [t / m³]</t>
  </si>
  <si>
    <t>Massa [t] = Volume [m³] * Densità [t/m³]</t>
  </si>
  <si>
    <t>Masė [t] = Tūris [m³] * Tankis [t/m³]</t>
  </si>
  <si>
    <t>Masa [t] = Objętość [m³] * Gęstość [t/m³]</t>
  </si>
  <si>
    <t>Massa [t] = Volume [m³] * Densidade [t/m³]</t>
  </si>
  <si>
    <t>Masa [t] = Prostornina [m³] * Gostota [t/m³]</t>
  </si>
  <si>
    <t>Masa [t] = Volumen [m³] * Densidad [t/m³]</t>
  </si>
  <si>
    <t>template_label_energy_gaseous_fuels</t>
  </si>
  <si>
    <t>Énergie [MWh] = Masse [t] × PCN [MWh/t]</t>
  </si>
  <si>
    <t>Energía [MWh] = Masa [t] * PCI [MWh/t]</t>
  </si>
  <si>
    <t>template_label_unit_of_measurement_converter</t>
  </si>
  <si>
    <t>UNIT OF MEASUREMENT CONVERTER</t>
  </si>
  <si>
    <t>MÅLEENHEDSKONVERTERING</t>
  </si>
  <si>
    <t>Meeteenheidconverter</t>
  </si>
  <si>
    <t>Convertisseur d'unité de mesure</t>
  </si>
  <si>
    <t>EINHEITENUMRECHNER</t>
  </si>
  <si>
    <t>TIONTAIRE AONAID TOMHAIS</t>
  </si>
  <si>
    <t>CONVERTITORE DI UNITÀ DI MISURA</t>
  </si>
  <si>
    <t>Matavimo vienetų keitiklis</t>
  </si>
  <si>
    <t>PRZELICZNIK JEDNOSTEK MIARY</t>
  </si>
  <si>
    <t>CONVERSOR DE UNIDADES DE MEDIDA</t>
  </si>
  <si>
    <t>PRETVORNIK MERSKIH ENOT</t>
  </si>
  <si>
    <t>CONVERTIDOR DE UNIDADES DE MEDIDA</t>
  </si>
  <si>
    <t>template_label_from_capital_case</t>
  </si>
  <si>
    <t xml:space="preserve">From </t>
  </si>
  <si>
    <t>Fra</t>
  </si>
  <si>
    <t>Van</t>
  </si>
  <si>
    <t>De</t>
  </si>
  <si>
    <t>Von</t>
  </si>
  <si>
    <t>Ó</t>
  </si>
  <si>
    <t>Da</t>
  </si>
  <si>
    <t>I could not find the exact translation of "From" in the provided context files. Based on general Lithuanian usage in corporate and sustainability reporting contexts, "From" can be translated as "Nuo".
Nuo</t>
  </si>
  <si>
    <t>Od</t>
  </si>
  <si>
    <t xml:space="preserve"> Od</t>
  </si>
  <si>
    <t>Desde</t>
  </si>
  <si>
    <t>template_label_unit_of_measurement_of_mass_converter</t>
  </si>
  <si>
    <t>Unit of measurement of Mass Converter</t>
  </si>
  <si>
    <t>Måleenhed for Masseomformer</t>
  </si>
  <si>
    <t>Meeteenheid van de massaconverter</t>
  </si>
  <si>
    <t>Unité de mesure du convertisseur de masse</t>
  </si>
  <si>
    <t>Maßeinheit des Massenumrechners</t>
  </si>
  <si>
    <t>Aonad tomhais Tiontaire Mais</t>
  </si>
  <si>
    <t>Unità di misura del convertitore di massa</t>
  </si>
  <si>
    <t>Masės konverterio matavimo vienetas</t>
  </si>
  <si>
    <t>Jednostka miary przelicznika masy</t>
  </si>
  <si>
    <t>Unidade de medida do Conversor de Massa</t>
  </si>
  <si>
    <t>Pretvornik merskih enot mase</t>
  </si>
  <si>
    <t>Unidad de medida del conversor de masa</t>
  </si>
  <si>
    <t>template_label_unit_of_measurement_of_volume_converter</t>
  </si>
  <si>
    <t>Unit of measurement of Volume Converter</t>
  </si>
  <si>
    <t>Måleenhed for Volumenomformer</t>
  </si>
  <si>
    <t>Meeteenheid van de volumeconverter</t>
  </si>
  <si>
    <t>Unité de mesure du convertisseur de volume</t>
  </si>
  <si>
    <t>Maßeinheit des Volumenumrechners</t>
  </si>
  <si>
    <t>Aonad tomhais an Tiontaire Toirte</t>
  </si>
  <si>
    <t>Unità di misura del convertitore di volume</t>
  </si>
  <si>
    <t>Tūrio konverterio matavimo vienetas</t>
  </si>
  <si>
    <t>Jednostka miary przelicznika objętości</t>
  </si>
  <si>
    <t>Unidade de medida do Conversor de Volume</t>
  </si>
  <si>
    <t>Pretvornik merskih enot za prostornino</t>
  </si>
  <si>
    <t>Unidad de medida del Convertidor de Volumen</t>
  </si>
  <si>
    <t>template_label_unit_of_measurement_of_energy_consumption_per_hour</t>
  </si>
  <si>
    <t>Unit of measurement of Energy Consumption per Hour</t>
  </si>
  <si>
    <t>Måleenhed for energiforbrug pr. time</t>
  </si>
  <si>
    <t xml:space="preserve"> meeteenheid voorenergieverbruik per uur</t>
  </si>
  <si>
    <t>Unité de mesure de la consommation d’énergie par heure</t>
  </si>
  <si>
    <t>Maßeinheit des Energieverbrauchs pro Stunde</t>
  </si>
  <si>
    <t>Aonad tomhais ar Ídiú Fuinnimh in aghaidh na huaire</t>
  </si>
  <si>
    <t>Unità di misura del consumo di energia orario</t>
  </si>
  <si>
    <t>Energijos suvartojimo per valandą matavimo vienetas</t>
  </si>
  <si>
    <t>Jednostka miary zużycia energii na godzinę</t>
  </si>
  <si>
    <t>Unidade de medição do Consumo de Energia por Hora</t>
  </si>
  <si>
    <t>Enota za merjenje porabe energije na uro</t>
  </si>
  <si>
    <t>Unidad de medida del consumo de energía por hora</t>
  </si>
  <si>
    <t>template_label_unit_of_measurement_of_ncv_converter</t>
  </si>
  <si>
    <t>Unit of measurement of NCV Converter</t>
  </si>
  <si>
    <t xml:space="preserve">Måleenhed for NCV-konverter 
</t>
  </si>
  <si>
    <t xml:space="preserve"> Meeteenheid voor de NCV Converter</t>
  </si>
  <si>
    <t>Unité de mesure du convertisseur PCN</t>
  </si>
  <si>
    <t>Maßeinheit des NCV-Umrechners</t>
  </si>
  <si>
    <t>Aonad tomhais an Tiontaire NCV</t>
  </si>
  <si>
    <t>Unità di misura del convertitore PCN</t>
  </si>
  <si>
    <t>NVC konverterio matavimo vienetas</t>
  </si>
  <si>
    <t>Jednostka miary przelicznika NCV</t>
  </si>
  <si>
    <t>Unidade de medida do conversor NCV</t>
  </si>
  <si>
    <t>Merska enota pretvornika NCV</t>
  </si>
  <si>
    <t>Unidad de medida del convertidor NCV</t>
  </si>
  <si>
    <t>template_label_mass_to_volume</t>
  </si>
  <si>
    <t>Mass to Volume Converter (or viceversa)</t>
  </si>
  <si>
    <t>Masse-til-volumen-omformer (eller omvendt)</t>
  </si>
  <si>
    <t>Massa-naar-volume-omzetter (of omgekeerd)</t>
  </si>
  <si>
    <t>Convertisseur masse-volume (ou inversement)</t>
  </si>
  <si>
    <t>Masse-Volumen-Umwandler (oder umgekehrt)</t>
  </si>
  <si>
    <t>Tiontaire Aifreann go Imleabhar (nó vice versa)</t>
  </si>
  <si>
    <t>Convertitore massa-volume (o viceversa)</t>
  </si>
  <si>
    <t>Masės ir tūrio keitiklis (arba atvirkščiai)</t>
  </si>
  <si>
    <t>Przetwornica masy do objętości (lub odwrotnie)</t>
  </si>
  <si>
    <t>Conversor de massa para volume (ou vice-versa)</t>
  </si>
  <si>
    <t>Pretvornik mase v volumen (ali obratno)</t>
  </si>
  <si>
    <t>Convertidor de masa a volumen (o viceversa)</t>
  </si>
  <si>
    <t>template_label_density_kg_over_l</t>
  </si>
  <si>
    <t>Density (Kg/L)</t>
  </si>
  <si>
    <t>Densitet (kg/L)</t>
  </si>
  <si>
    <t>Dichtheid (kg/L)</t>
  </si>
  <si>
    <t>Densité (kg/L)</t>
  </si>
  <si>
    <t>Dichte (kg/L)</t>
  </si>
  <si>
    <t>Dlús (kg / l)</t>
  </si>
  <si>
    <t>Densità (kg/l)</t>
  </si>
  <si>
    <t>Tankis (kg/l)</t>
  </si>
  <si>
    <t>Gęstość (kg/l)</t>
  </si>
  <si>
    <t>Densidade (kg/l)</t>
  </si>
  <si>
    <t>Gostota (Kg/L)</t>
  </si>
  <si>
    <t>Densidad (kg/l)</t>
  </si>
  <si>
    <t>template_label_unit_of_measurement_of_density_converter</t>
  </si>
  <si>
    <t>Unit of measurement of Density Converter</t>
  </si>
  <si>
    <t>Måleenhed for Densitetsomformer</t>
  </si>
  <si>
    <t xml:space="preserve"> Meeteenheid van de Dichtheidsomzetter</t>
  </si>
  <si>
    <t>Unité de mesure du convertisseur de densité</t>
  </si>
  <si>
    <t>Maßeinheit des Dichteumrechners</t>
  </si>
  <si>
    <t>Aonad tomhais an Tiontaire Dlúis</t>
  </si>
  <si>
    <t>Unità di misura del convertitore di densità</t>
  </si>
  <si>
    <t>Tankio konverterio matavimo vienetas</t>
  </si>
  <si>
    <t>Jednostka miary przelicznika gęstości</t>
  </si>
  <si>
    <t>Unidade de medição do Conversor de Densidade</t>
  </si>
  <si>
    <t>Pretvornik merskih enot gostote</t>
  </si>
  <si>
    <t xml:space="preserve">Unidad de medida del Convertidor de Densidad
</t>
  </si>
  <si>
    <t>template_label_usage_of_unit_of_measurement_converter</t>
  </si>
  <si>
    <t>Usage of Unit of Measurement Converter</t>
  </si>
  <si>
    <t>Brug af enhedsomregner</t>
  </si>
  <si>
    <t>Gebruik van de meeteenheidconverter</t>
  </si>
  <si>
    <t>Utilisation du convertisseur d'unités de mesure</t>
  </si>
  <si>
    <t>Nutzung des Einheitenumrechners</t>
  </si>
  <si>
    <t>Úsáid an Tiontaire Aonaid Tomhais</t>
  </si>
  <si>
    <t>Uso del convertitore di unità di misura</t>
  </si>
  <si>
    <t>Matavimo vienetų konverterio naudojimas</t>
  </si>
  <si>
    <t>Użytkowanie Przelicznika jednostek miar</t>
  </si>
  <si>
    <t>Utilização do Conversor de Unidade de Medida</t>
  </si>
  <si>
    <t>Uporaba pretvornika merskih enot</t>
  </si>
  <si>
    <t>Uso del Convertidor de Unidad de Medida</t>
  </si>
  <si>
    <t>template_label_steps_to_follow_for_the_mass_table</t>
  </si>
  <si>
    <t>Steps to follow for the Mass table:</t>
  </si>
  <si>
    <t xml:space="preserve">Trin til at følge massetabellen </t>
  </si>
  <si>
    <t>Te volgen stappenvoor de massatabel:</t>
  </si>
  <si>
    <t>Étapes à suivre pour le tableau des masses :</t>
  </si>
  <si>
    <t>Schritte zur Nutzung der Massentabelle:</t>
  </si>
  <si>
    <t>Céimeanna le leanúint don tábla mais:</t>
  </si>
  <si>
    <t>Passi da seguire per la tabella della massa:</t>
  </si>
  <si>
    <t>Veiksmai, kuriuos reikia atlikti masės lentelėje:</t>
  </si>
  <si>
    <t>Kroki do wykonania dla Tabeli masy:</t>
  </si>
  <si>
    <t xml:space="preserve">Passos a seguir para a tabela de Massa:
</t>
  </si>
  <si>
    <t>Koraki, ki jih je treba upoštevati pri pripravi tabele mase:</t>
  </si>
  <si>
    <t>Pasos a seguir para la tabla de Masa:</t>
  </si>
  <si>
    <t>template_label_1_in_the_cell_b5_of_the_table_related_to_the_unit_of_measurement_of_mass_converter</t>
  </si>
  <si>
    <t>1. In the cell B5 of the table related to the Unit of measurement of Mass Converter should be inserted the Unit of measurement to convert.</t>
  </si>
  <si>
    <t>1. I celle B5 i tabellen for Massekonverteren skal du indsætte den måleenhed, du vil omregne.</t>
  </si>
  <si>
    <t>1. In cel B5 van de tabel  voor de meeteenheid van de massaconvertor moet de meeteenheid die moet worden omgezet, worden ingevoerd.</t>
  </si>
  <si>
    <t xml:space="preserve">1. Dans la cellule B5 du tableau relatif au convertisseur d’unité de mesure de la masse, l'unité de mesure à convertir doit être insérée. 
</t>
  </si>
  <si>
    <t>1. In Zelle B5 des Tabellenblatts mit dem Einheitenumrechner wird die umzuwandelnde Maßeinheit für die Masse eingetragen.</t>
  </si>
  <si>
    <t>1. I gcill B5 den tábla a bhaineann leis an Tiontaire Aonaid Tomhais Mais ba chóir an tAonad tomhais a thiontú.</t>
  </si>
  <si>
    <t>1. Nella cella B5 della tabella relativa all'Unità di misura del Convertitore di Massa deve essere inserita l'Unità di misura da convertire.</t>
  </si>
  <si>
    <t>1. Lentelės langelyje B5 („Masės konverterio vienetas“) įrašykite tą matavimo vienetą, kurį norite konvertuoti.</t>
  </si>
  <si>
    <t>1. W komórce B5 tabeli dotyczącej Jednostki miary przelicznika masy powinna zostać wstawiona jednostka miary do przeliczenia.</t>
  </si>
  <si>
    <t>1. Na célula B5 da tabela relacionada com a Unidade de medição do Conversor de Massa deve ser inserida a Unidade de medição para converter.</t>
  </si>
  <si>
    <t>1. V polje B5 tabele, ki se nanaša na mersko enoto za pretvornik mase, je treba vstaviti mersko enoto za pretvorbo.</t>
  </si>
  <si>
    <t>1. En la celda B5 de la tabla relacionada con la Unidad de medida del Convertidor de Masa, debe insertarse la Unidad de medida a convertir.</t>
  </si>
  <si>
    <t>template_label_2_then_in_the_cell_b6_the_amount_of_mass_can_be_inserted</t>
  </si>
  <si>
    <t>2. Then in the cell B6 the amount of mass can be inserted.</t>
  </si>
  <si>
    <t>2. Derefter kan mængden af masse indsættes i celle B6.</t>
  </si>
  <si>
    <t>2. Vervolgens kan in cel B6 de hoeveelheid massa worden ingevoerd.</t>
  </si>
  <si>
    <t>2. Puis, dans la cellule B6, la quantité de masse peut être insérée.</t>
  </si>
  <si>
    <t>2. Dann wird in Zelle B6 die Masse eingetragen.</t>
  </si>
  <si>
    <t>2. Ansin i gcill B6 is féidir an méid maise a chur isteach.</t>
  </si>
  <si>
    <t>2. Poi nella cella B6 può essere inserita la quantità di massa.</t>
  </si>
  <si>
    <t>2. Tada langelyje B6 įrašykite masės kiekį.</t>
  </si>
  <si>
    <t>2. Następnie w komórce B6 można wprowadzić ilość masy.</t>
  </si>
  <si>
    <t>2. De seguida, na célula B6, pode ser inserido o valor da massa.</t>
  </si>
  <si>
    <t>2. Nato lahko v polje B6 vnesemo količino mase.</t>
  </si>
  <si>
    <t>2. Luego, en la celda B6 se puede insertar la cantidad de masa.</t>
  </si>
  <si>
    <t>template_label_3_finally_in_the_cell_d5_there_should_be_the_unit_of_measurement_of_interest</t>
  </si>
  <si>
    <t>3. Finally in the cell D5 there should be the unit of measurement of interest.</t>
  </si>
  <si>
    <t>3. Endelig skal der i cellen D5 være den relevante måleenhed.</t>
  </si>
  <si>
    <t xml:space="preserve">3. Ten slotte moet in cel D5 de gewenste meeteenheidworden opgenomen.
</t>
  </si>
  <si>
    <t>3. Enfin, dans la cellule D5, l’unité de mesure souhaitée doit être indiquée.</t>
  </si>
  <si>
    <t>3. Abschließend wird in Zelle D5 die gewünschte Maßeinheit für die Masse eingetragen.</t>
  </si>
  <si>
    <t>3. Ar deireadh, i gcill D5 ba chóir go mbeadh an t-aonad tomhais úis.</t>
  </si>
  <si>
    <t>3. Infine, nella cella D5 dovrebbe esserci l'unità di misura di interesse.</t>
  </si>
  <si>
    <t>3. Galiausiai langelyje D5 nurodykite atitinkamą matavimo vienetą.</t>
  </si>
  <si>
    <t>3. Na koniec w komórce D5 powinna znaleźć się interesująca nas jednostka miary.</t>
  </si>
  <si>
    <t>3. Por fim, na célula D5 deve constar a unidade de medida de interesse.</t>
  </si>
  <si>
    <t>3. Končno bi morala biti v polju D5 merska enota, ki nas zanima.</t>
  </si>
  <si>
    <t>3. Finalmente, en la celda D5 debe estar la unidad de medida de interés.</t>
  </si>
  <si>
    <t>template_label_4_the_outcome_of_the_conversion_will_be_displayed_in_the_cell_d6</t>
  </si>
  <si>
    <t>4. The outcome of the conversion will be displayed in the cell D6.</t>
  </si>
  <si>
    <t>4. Resultatet af konverteringen vil blive vist i celle D6.</t>
  </si>
  <si>
    <t>4. De uitkomst van de conversie wordt weergegeven in cel D6.</t>
  </si>
  <si>
    <t>4. Le résultat de la conversion sera affiché dans la cellule D6.</t>
  </si>
  <si>
    <t>4. Das Ergebnis der Umrechnung wird in Zelle D6 angezeigt.</t>
  </si>
  <si>
    <t>4. Taispeánfar toradh an chomhshóiteachta i gcill D6.</t>
  </si>
  <si>
    <t>4. L’esito della conversione sarà visualizzato nella cella D6.</t>
  </si>
  <si>
    <t>4. Konvertavimo rezultatas bus rodomas langelyje D6.</t>
  </si>
  <si>
    <t>4. Wynik konwersji zostanie wyświetlony w komórce D6.</t>
  </si>
  <si>
    <t>4. O resultado da conversão será exibido na célula D6.</t>
  </si>
  <si>
    <t>4. Rezultat pretvorbe bo prikazan v polju D6.</t>
  </si>
  <si>
    <t>4. El resultado de la conversión se mostrará en la celda D6.</t>
  </si>
  <si>
    <t>template_label_the_steps_to_follow_for_the_other_tables</t>
  </si>
  <si>
    <t>The steps to follow for the other tables (Volume, Energy Consumption, Density and NCV) are the same of the Mass table.</t>
  </si>
  <si>
    <t>Trinene, der skal følges for de øvrige tabeller (Volume, Energy Consumption, Density og NCV), er de samme som for Mass table.</t>
  </si>
  <si>
    <t xml:space="preserve">De stappen die gevolgd moeten worden voor de andere tabellen (Volume, Energieverbruik, Dichtheid en NCV) zijn dezelfde als voor de Massatabel. 
</t>
  </si>
  <si>
    <t>Les étapes à suivre pour les autres tableaux (volume, consommation d’énergie, densité et PCN) sont les mêmes que pour le tableau des masses.</t>
  </si>
  <si>
    <t>Die Schritte für die anderen Tabellen (Volumen, Energieverbrauch, Dichte und NCV) entsprechen den Schritten für die Massentabelle.</t>
  </si>
  <si>
    <t>Tá na céimeanna atá le leanúint do na táblaí eile (Toirt, Tomhaltas Fuinnimh, Dlús agus NCV) mar an gcéanna leis an tábla Maise.</t>
  </si>
  <si>
    <t>I passaggi da seguire per le altre tabelle (Volume, Consumo di energia, Densità e PCN) sono gli stessi della tabella della Massa.</t>
  </si>
  <si>
    <t xml:space="preserve">
Kitoms lentelėms (tūrio, energijos suvartojimo, tankio ir NCV) taikomi tie patys žingsniai kaip masės lentelei.</t>
  </si>
  <si>
    <t>Kroki do wykonania dla pozostałych tabel (Objętość, Zużycie energii, Gęstość i NCV) są takie same jak dla Tabeli masy.</t>
  </si>
  <si>
    <t xml:space="preserve">Os passos a seguir para as outras tabelas (Volume, Consumo de Energia, Densidade e PCI) são os mesmos da tabela Massa. 
</t>
  </si>
  <si>
    <t>Koraki, ki jih je treba upoštevati za ostale tabele (Prostornina, Poraba energije, Gostota in NCV), so enaki kot za tabelo Masa.</t>
  </si>
  <si>
    <t>Los pasos a seguir para las otras tablas (Volumen, Consumo de Energía, Densidad y NCV) son los mismos que para la tabla de Masa.</t>
  </si>
  <si>
    <t>template_label_below_are_specified_all_the_units_of_measurement_conversions_of_each_table</t>
  </si>
  <si>
    <t>Below are specified all the Units of measurement conversions of each table.</t>
  </si>
  <si>
    <t>Nedenfor er angivet alle enhedsomregninger for hver tabel.</t>
  </si>
  <si>
    <t>Hieronder zijn alle meeteenhedenen hun omrekeningen per tabel gespecificeerd.</t>
  </si>
  <si>
    <t>Ci‑dessous sont indiquées toutes les conversions d’unités de mesure pour chaque tableau.</t>
  </si>
  <si>
    <t>Nachfolgend sind alle Maßeinheiten der Tabellen für die Einheitenumrechnung angegeben.</t>
  </si>
  <si>
    <t>Sonraítear thíos na hAonaid tomhais go léir de gach tábla.</t>
  </si>
  <si>
    <t>Di seguito sono specificate tutte le conversioni delle unità di misura di ciascuna tabella.</t>
  </si>
  <si>
    <t>Žemiau pateikiami visų lentelių matavimo vienetų konvertavimai.</t>
  </si>
  <si>
    <t>Poniżej określono wszystkie przeliczenia jednostek miar dla każdej tabeli.</t>
  </si>
  <si>
    <t>A seguir estão especificadas todas as conversões de unidades de medida de cada tabela.</t>
  </si>
  <si>
    <t>Spodaj so navedene vse pretvorbe merskih enot za vsako tabelo.</t>
  </si>
  <si>
    <t>A continuación se especifican todas las conversiones de unidades de medida de cada tabla.</t>
  </si>
  <si>
    <t>template_label_unit_of_measurement_of_mass_converter_list</t>
  </si>
  <si>
    <t>▪ Unit of measurement of Mass Converter:</t>
  </si>
  <si>
    <t>▪ Enhed for masseomregner:</t>
  </si>
  <si>
    <t>Meeteenheid van de massaconverter:</t>
  </si>
  <si>
    <t>▪ Unité de mesure du convertisseur de masse :</t>
  </si>
  <si>
    <t>▪ Maßeinheit des Massenumrechners:</t>
  </si>
  <si>
    <t>▪ Aonad tomhais Tiontaire Maise:</t>
  </si>
  <si>
    <t>▪ Unità di misura del convertitore di massa:</t>
  </si>
  <si>
    <t>▪ Jednostka miary przelicznika masy:</t>
  </si>
  <si>
    <t>▪ Unidade de medida do conversor de massa:</t>
  </si>
  <si>
    <t>▪ Pretvornik merskih enot mase:</t>
  </si>
  <si>
    <t>▪ Unidad de medida del Convertidor de Masa:</t>
  </si>
  <si>
    <t>template_label_unit_of_measurement_of_volume_converter_list</t>
  </si>
  <si>
    <t>▪ Unit of measurement of Volume Converter:</t>
  </si>
  <si>
    <t>▪ Måleenhed for volumekonverter:</t>
  </si>
  <si>
    <t xml:space="preserve">Meeteenheid van de volumeconverter: </t>
  </si>
  <si>
    <t>▪ Unité de mesure du convertisseur de volume :</t>
  </si>
  <si>
    <t>▪ Maßeinheit des Volumenumrechners:</t>
  </si>
  <si>
    <t>▪ Aonad tomhais Tiontaire Toirte:</t>
  </si>
  <si>
    <t>▪ Unità di misura del convertitore di volume:</t>
  </si>
  <si>
    <t>▪ Jednostka miary przelicznika objętości:</t>
  </si>
  <si>
    <t>▪ Unidade de medida do Conversor de Volume:</t>
  </si>
  <si>
    <t>▪ Pretvornik merskih enot za prostornino:</t>
  </si>
  <si>
    <t>▪ Unidad de medida del Convertidor de Volumen:</t>
  </si>
  <si>
    <t>template_label_unit_of_measurement_of_energy_converter_list</t>
  </si>
  <si>
    <t>▪ Unit of measurement of Energy Converter:</t>
  </si>
  <si>
    <t>▪ Måleenhed for energikonverter:</t>
  </si>
  <si>
    <t>Meeteenheid van de energieconverter:</t>
  </si>
  <si>
    <t>▪ Unité de mesure du convertisseur d'énergie :</t>
  </si>
  <si>
    <t>▪ Maßeinheit des Energieumrechners:</t>
  </si>
  <si>
    <t>▪ Aonad tomhais Tiontaire Fuinnimh:</t>
  </si>
  <si>
    <t>▪ Unità di misura del Convertitore di Energia:</t>
  </si>
  <si>
    <t>Energijos konverterio matavimo vienetas</t>
  </si>
  <si>
    <t>▪ Jednostka miary przelicznika energii:</t>
  </si>
  <si>
    <t>▪ Unidade de medida do Conversor de Energia:</t>
  </si>
  <si>
    <t>▪ Merska enota pretvornika energije:</t>
  </si>
  <si>
    <t>▪ Unidad de medida del Convertidor de Energía:</t>
  </si>
  <si>
    <t>template_label_unit_of_measurement_of_density_converter_list</t>
  </si>
  <si>
    <t>▪ Unit of measurement of Density Converter:</t>
  </si>
  <si>
    <t>▪ Måleenhed for densitetskonverter:</t>
  </si>
  <si>
    <t>Meeteenheid van meting de dichtheidconverter:</t>
  </si>
  <si>
    <t>▪ Unité de mesure du convertisseur de densité :</t>
  </si>
  <si>
    <t>▪ Maßeinheit des Dichteumrechners:</t>
  </si>
  <si>
    <t>▪ Aonad tomhais Tiontaire Dlúis:</t>
  </si>
  <si>
    <t>▪ Unità di misura del convertitore di densità:</t>
  </si>
  <si>
    <t>▪ Jednostka miary przelicznika gęstości:</t>
  </si>
  <si>
    <t>▪ Unidade de medida do Conversor de Densidade:</t>
  </si>
  <si>
    <t>▪ Pretvornik merskih enot gostote:</t>
  </si>
  <si>
    <t>▪ Unidad de medida del Convertidor de Densidad:</t>
  </si>
  <si>
    <t>template_label_unit_of_measurement_of_ncv_converter_list</t>
  </si>
  <si>
    <t>▪ Unit of measurement of NCV Converter:</t>
  </si>
  <si>
    <t>▪ Måleenhed for NCV-konverter:</t>
  </si>
  <si>
    <t>Meeteenheid van de NCV-r:</t>
  </si>
  <si>
    <t>▪ Unité de mesure du convertisseur PCN :</t>
  </si>
  <si>
    <t>▪ Maßeinheit des NCV-Umrechners:</t>
  </si>
  <si>
    <t>▪ Aonad tomhais Tiontaire NCV:</t>
  </si>
  <si>
    <t>▪ Unità di misura del convertitore PCN:</t>
  </si>
  <si>
    <t>▪ Jednostka miary przelicznika NCV:</t>
  </si>
  <si>
    <t>▪ Unidade de medida do Conversor NCV:</t>
  </si>
  <si>
    <t>▪ Merska enota pretvornika NCV:</t>
  </si>
  <si>
    <t>▪ Unidad de medida del convertidor NCV:</t>
  </si>
  <si>
    <t>template_label_mass_to_volume_instruction</t>
  </si>
  <si>
    <t>Similar steps, with also the specification of the denisty, can be applied to the last table for the conversion from Mass to Volumer (or viceversa).</t>
  </si>
  <si>
    <t>Lignende trin, med også specifikation af denisty, kan anvendes på den sidste tabel for omregningen fra Masse til Volumer (eller omvendt).</t>
  </si>
  <si>
    <t>Vergelijkbare stappen, met ook de specificatie van de dichtheid, kunnen worden toegepast op de laatste tabel voor de omzetting van massa naar volume (of omgekeerd).</t>
  </si>
  <si>
    <t>Des étapes similaires, avec la spécification de la dénitie, peuvent être appliquées à la dernière table pour la conversion de Mass en Volumer (ou inversement).</t>
  </si>
  <si>
    <t>Ähnliche Schritte, auch mit der Angabe der Dichte, können auf die letzte Tabelle für die Umrechnung von Masse zu Volumer (oder umgekehrt) angewendet werden.</t>
  </si>
  <si>
    <t>Is féidir céimeanna den chineál céanna, le sonraíocht an denisty freisin, a chur i bhfeidhm ar an tábla deireanach don chomhshó ó Aifreann go Toirteoir (nó vice versa).</t>
  </si>
  <si>
    <t>Passaggi simili, con la specifica della denisty, possono essere applicati all'ultima tabella per la conversione da Mass a Volumer (o viceversa).</t>
  </si>
  <si>
    <t>Panašūs žingsniai, taip pat nurodant denisty, gali būti taikomi paskutinei lentelei, konvertuojant iš masės į tūrį (arba atvirkščiai).</t>
  </si>
  <si>
    <t>Podobne kroki, wraz ze specyfikacją gęstości, można zastosować do ostatniej tabeli konwersji z Masy na Volumer (lub odwrotnie).</t>
  </si>
  <si>
    <t>Etapas semelhantes, com a especificação da denista, podem ser aplicadas à última tabela para a conversão de Mass para Volumer (ou vice-versa).</t>
  </si>
  <si>
    <t>Podobne korake, prav tako z določitvijo gostote, lahko uporabimo v zadnji tabeli za pretvorbo iz mase v volumen (ali obratno).</t>
  </si>
  <si>
    <t>Pasos similares, con la especificación de la denistad, pueden aplicarse a la última tabla para la conversión de Masa a Volumen (o viceversa).</t>
  </si>
  <si>
    <t>template_label_incomplete</t>
  </si>
  <si>
    <t>INCOMPLETE</t>
  </si>
  <si>
    <t xml:space="preserve">UFÆRDIG </t>
  </si>
  <si>
    <t>ONVOLLEDIG</t>
  </si>
  <si>
    <t>INCOMPLET</t>
  </si>
  <si>
    <t>UNVOLLSTÄNDIG</t>
  </si>
  <si>
    <t>NEAMHIOMLÁN</t>
  </si>
  <si>
    <t>INCOMPLETO</t>
  </si>
  <si>
    <t>NEBAIGTA</t>
  </si>
  <si>
    <t>NIEKOMPLETNY</t>
  </si>
  <si>
    <t>NEPOPOLNO</t>
  </si>
  <si>
    <t>template_label_complete</t>
  </si>
  <si>
    <t>COMPLETE</t>
  </si>
  <si>
    <t xml:space="preserve">FÆRDIG </t>
  </si>
  <si>
    <t>COMPLEET</t>
  </si>
  <si>
    <t>COMPLET</t>
  </si>
  <si>
    <t xml:space="preserve">VOLLSTÄNDIG
</t>
  </si>
  <si>
    <t>CRÍOCHNAITHE</t>
  </si>
  <si>
    <t>COMPLETO</t>
  </si>
  <si>
    <t>Baigta</t>
  </si>
  <si>
    <t>KOMPLETNY</t>
  </si>
  <si>
    <t>POPOLNO</t>
  </si>
  <si>
    <t>template_label_missing_value</t>
  </si>
  <si>
    <t>MISSING VALUE</t>
  </si>
  <si>
    <t>MANGLENDE VÆRDI</t>
  </si>
  <si>
    <t>ONTBREKENDE WAARDE</t>
  </si>
  <si>
    <t>VALEUR MANQUANTE</t>
  </si>
  <si>
    <t>FEHLENDER WERT</t>
  </si>
  <si>
    <t>LUACH IN EASNAMH</t>
  </si>
  <si>
    <t xml:space="preserve">VALORE MANCANTE
</t>
  </si>
  <si>
    <t>TRŪKSTAMA REIKŠMĖ</t>
  </si>
  <si>
    <t>BRAK WARTOŚCI</t>
  </si>
  <si>
    <t>VALOR EM FALTA</t>
  </si>
  <si>
    <t>MANJKAJOČA VREDNOST</t>
  </si>
  <si>
    <t xml:space="preserve">VALOR NO INFORMADO </t>
  </si>
  <si>
    <t>template_label_error</t>
  </si>
  <si>
    <t>ERROR</t>
  </si>
  <si>
    <t>FEJL</t>
  </si>
  <si>
    <t>FOUT</t>
  </si>
  <si>
    <t>ERREUR</t>
  </si>
  <si>
    <t>FEHLER</t>
  </si>
  <si>
    <t>EARRÁID</t>
  </si>
  <si>
    <t>ERRORE</t>
  </si>
  <si>
    <t>KLAIDA</t>
  </si>
  <si>
    <t>BŁĄD</t>
  </si>
  <si>
    <t>ERRO</t>
  </si>
  <si>
    <t>NAPAKA</t>
  </si>
  <si>
    <t>template_label_value_inconsistency</t>
  </si>
  <si>
    <t>VALUE INCONSISTENCY</t>
  </si>
  <si>
    <t>UOVERENSSTEMMELSE I VÆRDIER</t>
  </si>
  <si>
    <t>WAARDE-INCONSISTENTIE</t>
  </si>
  <si>
    <t>VALEUR INCOHÉRENTE</t>
  </si>
  <si>
    <t>INKONSISTENTER WERT</t>
  </si>
  <si>
    <t>NEAMHRÉIREACHT LUACHA</t>
  </si>
  <si>
    <t xml:space="preserve">INCOERENZA DI VALORE 
</t>
  </si>
  <si>
    <t>VERTĖS NESUTAPIMAS</t>
  </si>
  <si>
    <t>NIESPÓJNOŚĆ WARTOŚCI</t>
  </si>
  <si>
    <t>INCONSISTÊNCIA DE VALORES</t>
  </si>
  <si>
    <t>NESKLADNOST VREDNOSTI</t>
  </si>
  <si>
    <t>INCONSISTENCIA DE VALOR</t>
  </si>
  <si>
    <t>template_label_error_plus_value_inconsistency</t>
  </si>
  <si>
    <t>ERROR + VALUE INCONSISTENCY</t>
  </si>
  <si>
    <t>FEJL + UOVERENSSTEMMELSE I VÆRDIER</t>
  </si>
  <si>
    <t>FOUT + WAARDE-INCONSISTENTIE</t>
  </si>
  <si>
    <t>ERREUR + VALEUR INCOHÉRENTE</t>
  </si>
  <si>
    <t>FEHLER + INKONSISTENTER WERT</t>
  </si>
  <si>
    <t>EARRÁID + NEAMHRÉIREACHT LUACHA</t>
  </si>
  <si>
    <t>ERRORE + INCOERENZA DI VALORE</t>
  </si>
  <si>
    <t>KLAIDA + VERTĖS NESUTAPIMAS</t>
  </si>
  <si>
    <t>BŁĄD + NIESPÓJNOŚĆ WARTOŚCI</t>
  </si>
  <si>
    <t>ERRO + INCONSISTÊNCIA DE VALOR</t>
  </si>
  <si>
    <t>NESKLADNOST NAPAKE + VREDNOSTI</t>
  </si>
  <si>
    <t>ERROR+INCONSISTENCIA DE VALOR</t>
  </si>
  <si>
    <t>template_label_error_plus_missing_value_plus_value_inconsistency</t>
  </si>
  <si>
    <t>ERROR + MISSING VALUE + VALUE INCONSISTENCY</t>
  </si>
  <si>
    <t xml:space="preserve">FEJL + MANGLENDE VÆRDI +  UOVERENSSTEMMELSE I VÆRDIER </t>
  </si>
  <si>
    <t>FOUT + MISSENDE WAARDE + WAARDE-INCONSISTENTIE</t>
  </si>
  <si>
    <t>ERREUR + VALEUR MANQUANTE + VALEUR INCOHÉRENTE</t>
  </si>
  <si>
    <t>FEHLER + FEHLENDER WERT + INKONSISTENTER WERT</t>
  </si>
  <si>
    <t>EARRÁID + LUACH IN EASNAMH + NEAMHRÉIREACHT LUACHA</t>
  </si>
  <si>
    <t>ERRORE + VALORE MANCANTE + INCOERENZA DI VALORE</t>
  </si>
  <si>
    <t>KLAIDA + TRŪKSTAMA REIKŠMĖ + VERTĖS NENUOSEKLUMAS</t>
  </si>
  <si>
    <t>BŁĄD + BRAK WARTOŚCI + NIESPÓJNOŚĆ WARTOŚCI</t>
  </si>
  <si>
    <t>ERRO + VALOR EM FALTA + INCONSISTÊNCIA DE VALOR</t>
  </si>
  <si>
    <t>NAPAKA + MANJKAJOČA VREDNOST + NESKLADNOST VREDNOSTI</t>
  </si>
  <si>
    <t>ERROR+VALOR NO INFORMADO+INCONSISTENCIA DE VALOR</t>
  </si>
  <si>
    <t>template_label_error_plus_missing_value</t>
  </si>
  <si>
    <t>ERROR + MISSING VALUE</t>
  </si>
  <si>
    <t>FEJL + MANGLENDE VÆRDI</t>
  </si>
  <si>
    <t>FOUT + ONTBREKENDE WAARDE</t>
  </si>
  <si>
    <t>ERREUR + VALEUR MANQUANTE</t>
  </si>
  <si>
    <t>FEHLER + FEHLENDER WERT</t>
  </si>
  <si>
    <t>EARRÁID + LUACH IN EASNAMH</t>
  </si>
  <si>
    <t>ERRORE + VALORE MANCANTE</t>
  </si>
  <si>
    <t>KLAIDA + TRŪKSTAMA VERTĖ</t>
  </si>
  <si>
    <t>BŁĄD + BRAK WARTOŚCI</t>
  </si>
  <si>
    <t>ERRO + VALOR EM FALTA</t>
  </si>
  <si>
    <t>NAPAKA + MANJKAJOČA VREDNOST</t>
  </si>
  <si>
    <t xml:space="preserve">ERROR+VALOR NO INFORMADO </t>
  </si>
  <si>
    <t>template_label_missing_value_plus_value_inconsistency</t>
  </si>
  <si>
    <t>MISSING VALUE + VALUE INCONSISTENCY</t>
  </si>
  <si>
    <t>MANGLENDE VÆRDI + UOVERENSSTEMMELSE I VÆRDIER</t>
  </si>
  <si>
    <t xml:space="preserve">  ONTBREKENDE WAARDE + WAARDE-INCONSISTENTIE</t>
  </si>
  <si>
    <t>VALEUR MANQUANTE + VALEUR INCOHÉRENTE</t>
  </si>
  <si>
    <t>FEHLENDER WERT + INKONSISTENTER WERT</t>
  </si>
  <si>
    <t>NEAMHRÉIREACHT LUACHA + LUACH IN EASNAMH</t>
  </si>
  <si>
    <t>VALORE MANCANTE + INCOERENZA DI VALORE</t>
  </si>
  <si>
    <t>TRŪKSTAMA REIKŠMĖ + VERTĖS NEATITIKIMAS</t>
  </si>
  <si>
    <t>BRAKUJĄCA WARTOŚĆ + NIESPÓJNOŚĆ WARTOŚCI</t>
  </si>
  <si>
    <t>VALOR EM FALTA + INCONSISTÊNCIA DE VALOR</t>
  </si>
  <si>
    <t>MANJKAJOČA VREDNOST + NESKLADNOST VREDNOSTI</t>
  </si>
  <si>
    <t>VALOR NO INFORMADO+ INCOSISTENCIA DE VALOR</t>
  </si>
  <si>
    <t>template_label_invalid_url</t>
  </si>
  <si>
    <t>INVALID URL</t>
  </si>
  <si>
    <t>UGYLDIG URL</t>
  </si>
  <si>
    <t>ONGELDIGE URL</t>
  </si>
  <si>
    <t>URL INVALIDE</t>
  </si>
  <si>
    <t>UNGÜLTIGE URL</t>
  </si>
  <si>
    <t>URL NEAMHBHAILÍ</t>
  </si>
  <si>
    <t>URL NON VALIDO</t>
  </si>
  <si>
    <t>NETINKAMAS URL</t>
  </si>
  <si>
    <t>NIEPOPRAWNY URL</t>
  </si>
  <si>
    <t>URL INVÁLIDO</t>
  </si>
  <si>
    <t>NEVELJAVEN URL</t>
  </si>
  <si>
    <t>URL NO VÁLIDA</t>
  </si>
  <si>
    <t>template_label_ok</t>
  </si>
  <si>
    <t>OK</t>
  </si>
  <si>
    <t>CEART GO LEOR</t>
  </si>
  <si>
    <t>TINKAMA</t>
  </si>
  <si>
    <t>V redu</t>
  </si>
  <si>
    <t>CORRECTO</t>
  </si>
  <si>
    <t>template_label_classified_or_sensitive_information</t>
  </si>
  <si>
    <t>CLASSIFIED OR SENSITIVE INFORMATION</t>
  </si>
  <si>
    <t>KLASSIFICEREDE ELLER FØLSOMME OPLYSNINGER</t>
  </si>
  <si>
    <t>GECLASSIFICEERDE OF GEVOELIGE INFORMATIE</t>
  </si>
  <si>
    <t>INFORMATIONS CLASSIFIÉES OU SENSIBLES</t>
  </si>
  <si>
    <t>KLASSIFIZIERTE ODER SENSIBLE INFORMATIONEN</t>
  </si>
  <si>
    <t>FAISNÉIS RÚNAICMITHE NÓ ÍOGAIR</t>
  </si>
  <si>
    <t>INFORMAZIONI CLASSIFICATE O SENSIBILI</t>
  </si>
  <si>
    <t>ĮSLAPTINTA ARBA NESKELBTINA INFORMACIJA</t>
  </si>
  <si>
    <t>INFORMACJE TAJNE LUB WRAŻLIWE</t>
  </si>
  <si>
    <t>INFORMAÇÕES CLASSIFICADAS OU SENSÍVEIS</t>
  </si>
  <si>
    <t>ZAUPNI ALI OBČUTLJIVI PODATKI</t>
  </si>
  <si>
    <t>INFORMACIÓN CLASIFICADA O SENSIBLE</t>
  </si>
  <si>
    <t>template_label_liquid_warning</t>
  </si>
  <si>
    <t>ℹ️ Liquid fuel: please select one unit of measurement among m³ and L</t>
  </si>
  <si>
    <t>ℹ️ Flydende brændstof: vælg venligst en måleenhed blandt m³ og L</t>
  </si>
  <si>
    <t>ℹ️ Vloeibare brandstof: selecteer een meeteenheid uit m³ en L</t>
  </si>
  <si>
    <t>ℹ️ Combustible liquide : veuillez sélectionner une unité de mesure parmi m³ et L</t>
  </si>
  <si>
    <t>ℹ️ Flüssiger Brennstoff: Bitte wählen Sie eine Maßeinheit aus m³ und L aus</t>
  </si>
  <si>
    <t>ℹ️Breosla leachtach: roghnaigh aonad tomhais amháin i measc m³ agus L</t>
  </si>
  <si>
    <t>ℹ️ Combustibile liquido: selezionare un'unità di misura tra m³ e L</t>
  </si>
  <si>
    <t>ℹ️ Skystas kuras: pasirinkite vieną matavimo vienetą iš m³ ir L</t>
  </si>
  <si>
    <t>ℹ️ Paliwo ciekłe: proszę wybrać jedną jednostkę miary spośród m³ i L</t>
  </si>
  <si>
    <t>ℹ️ Combustível líquido: selecione uma unidade de medida entre m³ e L</t>
  </si>
  <si>
    <t>ℹ️ Tekoče gorivo: izberite eno mersko enoto med m³ in l</t>
  </si>
  <si>
    <t>ℹ️ Combustible líquido: por favor seleccione una unidad de medida entre m³ y L</t>
  </si>
  <si>
    <t>template_label_solid_warning</t>
  </si>
  <si>
    <t>ℹ️ Solid fuel: please select one unit of measurement among Gg, t, Kg and g</t>
  </si>
  <si>
    <t>ℹ️ Fast brændsel: vælg venligst en måleenhed blandt Gg, t, Kg og g</t>
  </si>
  <si>
    <t>ℹ️ Vaste brandstof: selecteer een meeteenheid uit Gg, t, Kg en g</t>
  </si>
  <si>
    <t>ℹ️ Combustible solide : veuillez choisir une unité de mesure parmi Gg, t, Kg et g</t>
  </si>
  <si>
    <t>ℹ️ Feste Brennstoffe: Bitte wählen Sie eine Maßeinheit aus Gg, t, Kg und g aus</t>
  </si>
  <si>
    <t>ℹ️ Breosla soladach: roghnaigh aonad tomhais amháin le do thoil i measc Gg, t, Kg agus g</t>
  </si>
  <si>
    <t>ℹ️ Combustibile solido: selezionare un'unità di misura tra Gg, t, Kg e g</t>
  </si>
  <si>
    <t>ℹ️ Kietasis kuras: pasirinkite vieną matavimo vienetą tarp Gg, t, kg ir g</t>
  </si>
  <si>
    <t>ℹ️ Paliwo stałe: proszę wybrać jedną jednostkę miary spośród Gg, t, Kg i g</t>
  </si>
  <si>
    <t>ℹ️ Combustível sólido: por favor, selecione uma unidade de medida entre Gg, t, Kg e g</t>
  </si>
  <si>
    <t>ℹ️ Trdno gorivo: izberite eno mersko enoto med Gg, t, Kg in g</t>
  </si>
  <si>
    <t>ℹ️ Combustible sólido: seleccione una unidad de medida entre Gg, t, Kg y g</t>
  </si>
  <si>
    <t>template_label_gaseous_warning</t>
  </si>
  <si>
    <t>ℹ️ Gaseous fuel: please select one unit of measurement among m³ and L</t>
  </si>
  <si>
    <t>ℹ️ Gasformigt brændstof: vælg venligst en måleenhed blandt m³ og L</t>
  </si>
  <si>
    <t>ℹ️ Gassoortige brandstof: selecteer een meeteenheid, m³ of L.</t>
  </si>
  <si>
    <t>ℹ️ Combustible gazeux : veuillez sélectionner une unité de mesure parmi m³ et L</t>
  </si>
  <si>
    <t>ℹ️ Gasförmige Brennstoffe: Bitte wählen Sie eine Maßeinheit aus m³ und L aus</t>
  </si>
  <si>
    <t>ℹ️ Breosla gásach: roghnaigh aonad tomhais amháin i measc m³ agus L</t>
  </si>
  <si>
    <t>ℹ️ Gas combustibili: selezionare un'unità di misura tra m³ e L</t>
  </si>
  <si>
    <t>ℹ️ Dujinis kuras: pasirinkite vieną matavimo vienetą tarp m³ ir L</t>
  </si>
  <si>
    <t>ℹ️ Paliwo gazowe: proszę wybrać jedną jednostkę miary spośród m³ i L</t>
  </si>
  <si>
    <t>ℹ️ Combustível gasoso: por favor selecione uma unidade de medida entre m³ e L</t>
  </si>
  <si>
    <t>ℹ️ Plinasto gorivo: izberite eno mersko enoto med m³ in L</t>
  </si>
  <si>
    <t>ℹ️ Combustible gaseoso: seleccione una unidad de medida entre m³ y L</t>
  </si>
  <si>
    <t>template_label_identifier_warning</t>
  </si>
  <si>
    <t xml:space="preserve">ℹ️  The entity identifier is a unique ID, that will enable identifying the company that has reported the information. The VSME Standard does not require any specific identifier. An entity identifier is required for the digital reporting. </t>
  </si>
  <si>
    <t>ℹ️ Virksomhedsidentifikatoren er et unikt ID, som muliggør identifikation af den virksomhed, der har indberettet oplysningerne. VSME-standarden kræver ikke noget specifikt identifikationsnummer. En virksomhedsidentifikator er påkrævet for digital rapportering.</t>
  </si>
  <si>
    <t>ℹ️ De entiteitsidentificatie is een unieke ID die het mogelijk maakt het bedrijf te identificeren dat de informatie heeft gerapporteerd. De VSME-standaard vereist geen specifieke identificatie. Een entiteitsidentificatie is vereist voor de digitale rapportage.</t>
  </si>
  <si>
    <t>ℹ️ L'identifiant de l'entreprise est un ID unique qui permet d'identifier l'entreprise ayant fourni les informations. La norme VSME ne requiert aucun identifiant spécifique. Un identifiant d'entreprise est nécessaire pour le reporting numérique.</t>
  </si>
  <si>
    <t>ℹ️ Die Unternehmenskennung ist eine eindeutige ID, die es ermöglicht, das Unternehmen zu identifizieren, das die Informationen berichtet hat. Der VSME-Standard verlangt keine spezifische Kennung. Für die digitale Berichterstattung ist jedoch eine Kennung des Unternehmens erforderlich.</t>
  </si>
  <si>
    <t>ℹ️  Is aitheantóir uathúil é an t-aitheantóir gnóthais, a éascóidh an cuideachta a thuairiscigh an fhaisnéis a aithint. Ní éilíonn an Caighdeán VSME aon aitheantóir sonrach. Tá aitheantóir gnóthais ag teastáil don tuairisciú digiteach.</t>
  </si>
  <si>
    <t>ℹ️ L'identificatore dell'impresa è un ID unico che consente di identificare l'impresa che ha fornito le informazioni. Il principio VSME non richiede alcun identificatore specifico. Un identificatore dell'impresa è necessario per la rendicontazione digitale.</t>
  </si>
  <si>
    <t>ℹ️ Įmonės identifikatorius yra unikalus ID, kuris leis identifikuoti įmonę, kuri pateikė informaciją. VSME standartas nereikalauja jokio konkretaus identifikatoriaus. Įmonės identifikatorius yra privalomas skaitmeniniam ataskaitų teikimui.</t>
  </si>
  <si>
    <t>ℹ️ Identyfikator jednostki to unikalne ID, które umożliwi identyfikację jednostki, która przekazała informacje. Standard VSME nie wymaga konkretnego identyfikatora. Identyfikator jednostki jest wymagany do sprawozdawczości elektronicznej.</t>
  </si>
  <si>
    <t>ℹ️ O identificador da entidade é um ID único que permitirá identificar a empresa que reportou a informação. A Norma VSME não exige nenhum identificador específico. Um identificador da entidade é necessário para a reporte digital.</t>
  </si>
  <si>
    <t>ℹ️ Identifikator podjetja je edinstven ID, ki omogoča identifikacijo podjetja, ki je sporočilo podatke. Standard VSME ne zahteva nobenega posebnega identifikatorja. Za digitalno sporočilo je potreben identifikator podjetja.</t>
  </si>
  <si>
    <t xml:space="preserve">ℹ️ El identificador de entidad es un ID único que permitirá identificar a la empresa que ha informado la información. El Estándar VSME no requiere ningún identificador específico. Se requiere un identificador de entidad para la presentación digital. 
</t>
  </si>
  <si>
    <t>template_label_date_warning</t>
  </si>
  <si>
    <t>ℹ️ If VALUE INCONSISTENCY message appears on the right, please ensure that the reporting period end date is greater than the reporting period start date.</t>
  </si>
  <si>
    <t>ℹ️ Hvis beskeden UOVERENSSTEMMELSE I VÆRDIER vises til højre, skal du sikre dig, at rapporteringsperiodens slutdato er større end rapporteringsperiodens startdato.</t>
  </si>
  <si>
    <t>ℹ️ Als er een bericht over WAARDE-INCONSISTENTIE  aan de rechterkant verschijnt, zorg er dan voor dat de einddatum van de rapportageperiode later is dan de begindatum van de rapportageperiode.</t>
  </si>
  <si>
    <t>ℹ️ Si un message VALEUR INCOHERENTE apparaît à droite, veuillez vous assurer que la date de fin de la période de reporting est postérieure à la date de début de la période de reporting.</t>
  </si>
  <si>
    <t xml:space="preserve">ℹ️ Wenn rechts die Meldung INKONSISTENTER WERT erscheint, stellen Sie bitte sicher, dass das Enddatum des Berichtszeitraums chronologisch nach dem Anfangsdatum liegt.
</t>
  </si>
  <si>
    <t>ℹ️  Má tá teachtaireacht NEAMHRÉIREACHT LUACHA le feiceáil ar dheis, déan cinnte go bhfuil dáta deiridh na tréimhse tuairiscithe níos mó ná dáta tosaigh na tréimhse tuairiscithe.</t>
  </si>
  <si>
    <t>ℹ️ Se sul lato destro appare il messaggio INCOERENZA DI VALORE, assicurarsi che la data di fine del periodo di riferimento sia successiva alla data di inizio del periodo di riferimento.</t>
  </si>
  <si>
    <t>ℹ️ Jei dešinėje pusėje pasirodys ŽINUTĖ APIE VERTĖS NESUTAPIMĄ, įsitikinkite, kad ataskaitinio laikotarpio pabaigos data yra vėlesnė už ataskaitinio laikotarpio pradžios datą.</t>
  </si>
  <si>
    <t>ℹ️ Jeśli po prawej stronie pojawi się komunikat NIESPÓJNOŚĆ WARTOŚCI, upewnij się, że data zakończenia okresu sprawozdawczego jest późniejsza niż data rozpoczęcia okresu sprawozdawczego.</t>
  </si>
  <si>
    <t>ℹ️ Se a mensagem VALOR INCONSISTENTE aparecer à direita, por favor assegure-se de que a data final do período de reporte é superior à data inicial do período de reporte.</t>
  </si>
  <si>
    <t>ℹ️ Če se na desni prikaže sporočilo NEDOSKLADNOST VREDNOSTI, se prepričajte, da je končni datum obdobja obračunavanja večji od začetnega datuma obdobja obračunavanja.</t>
  </si>
  <si>
    <t>ℹ️ Si aparece el mensaje INCONSISTENCIA DE VALOR a la derecha, por favor asegúrese de que la fecha de finalización del período informado sea posterior a la fecha de inicio del período informado.</t>
  </si>
  <si>
    <t>template_label_additional_rows_warning</t>
  </si>
  <si>
    <t>ℹ️  Lists can be expanded using the little [+] button on the left.  If the number of rows is not sufficient, those can be added by right clicking the second row and selecting "Insert row".</t>
  </si>
  <si>
    <t>ℹ️ Lister kan udvides ved hjælp af den lille [+] knap til venstre. Hvis antallet af rækker ikke er tilstrækkeligt, kan de tilføjes ved at højreklikke på anden række og vælge "Indsæt række".</t>
  </si>
  <si>
    <t>ℹ️ Lijsten kunnen worden uitgebreid met de kleine [+] knop aan de linkerkant. Als het aantal rijen niet voldoende is, kunnen deze worden toegevoegd door met de rechtermuisknop op de tweede rij te klikken en "Rij invoegen" te selecteren.</t>
  </si>
  <si>
    <t>ℹ️Les listes peuvent être déroulées à l’aide du bouton plus [+] situé à gauche. Si le nombre de lignes n’est pas suffisant, des lignes supplémentaires peuvent être ajoutées en cliquant avec le bouton droit sur la deuxième ligne et en sélectionnant « Insérer une ligne ».</t>
  </si>
  <si>
    <t>ℹ️ Listen können mit dem kleinen [+]-Button auf der linken Seite ausgeklappt werden. Wenn die Anzahl der Zeilen nicht ausreicht, können weitere hinzugefügt werden, indem in die zweite Zeile mit der rechten Maustaste geklickt und „Zeile einfügen“ ausgewählt wird.</t>
  </si>
  <si>
    <t>ℹ️  Is féidir liostaí a leathnú ag baint úsáide as an gcnaipe beag [+] ar chlé.  Mura leor líon na sraitheanna, is féidir iad sin a chur leis trí chliceáil ar dheis ar an dara sraith agus "Cuir isteach sraith" a roghnú.</t>
  </si>
  <si>
    <t>ℹ️ Le liste possono essere espanse utilizzando il pulsante piccolo [+] a sinistra. Se il numero di righe non è sufficiente, è possibile aggiungerle facendo clic con il tasto destro sulla seconda riga e selezionando "Inserisci riga".</t>
  </si>
  <si>
    <t>ℹ️ Sąrašai gali būti išplėsti paspaudus mažą mygtuką [+] kairėje. Jei eilučių skaičius yra nepakankamas, jas galima pridėti dešiniuoju pelės klavišu spustelėjus antrą eilutę ir pasirinkus "Įterpti eilutę".</t>
  </si>
  <si>
    <t>ℹ️ Listy można rozwijać, używając małego przycisku [+] po lewej stronie. Jeśli liczba wierszy jest niewystarczająca, można je dodać, klikając prawym przyciskiem myszy drugi wiersz i wybierając „Wstaw wiersz”.</t>
  </si>
  <si>
    <t>ℹ️ As listas podem ser expandidas usando o pequeno botão [+] à esquerda. Se o número de linhas não for suficiente, podem ser adicionadas outras clicando com o botão direito do mouse na segunda linha e selecionando "Inserir linha".</t>
  </si>
  <si>
    <t>ℹ️ Sezname lahko razširite z majhnim gumbom [+] na levi. Če število vrstic ni zadostno, jih lahko dodate tako, da z desno miškino tipko kliknete drugo vrstico in izberete »Vstavi vrstico«.</t>
  </si>
  <si>
    <t>ℹ️ Las listas pueden ampliarse usando el pequeño botón [+] a la izquierda. Si el número de filas no es suficiente, se pueden añadir haciendo clic derecho en la segunda fila y seleccionando "Insertar fila".</t>
  </si>
  <si>
    <t>template_label_other_warning</t>
  </si>
  <si>
    <t>ℹ️ When "other" is chosen as undertaking legal form please fill the row below</t>
  </si>
  <si>
    <t>ℹ️ Når "andet" vælges som virksomhedsretlig form, bedes du udfylde rækken nedenfor.</t>
  </si>
  <si>
    <t>ℹ️ Wanneer "overig" wordt gekozen als rechtsvorm van de onderneming, vul dan de onderstaande regel in</t>
  </si>
  <si>
    <t>ℹ️ Lorsque "autre" est choisi comme forme juridique de l'entreprise, veuillez remplir la ligne ci-dessous</t>
  </si>
  <si>
    <t xml:space="preserve">ℹ️ Wenn „sonstige“ als Rechtsform des Unternehmens gewählt wird, füllen Sie bitte die nachfolgende Zeile aus. </t>
  </si>
  <si>
    <t>ℹ️  Nuair a roghnaítear "eile" mar fhoirm dhlíthiúil gealltanais, líon isteach an tsraith thíos le do thoil</t>
  </si>
  <si>
    <t xml:space="preserve">ℹ️ Quando si sceglie "altro" come forma giuridica dell'impresa, si prega di compilare la riga sottostante
</t>
  </si>
  <si>
    <t>Jei įmonės teisinė forma pasirenkama „kita“, užpildykite žemiau esančią eilutę.</t>
  </si>
  <si>
    <t>ℹ️ Jeżeli wybrano „inne” jako formę prawną jednostki, proszę wypełnić poniższy wiersz.</t>
  </si>
  <si>
    <t>ℹ️ Quando for escolhida a opção 'outro' como forma jurídica da entidade, por favor preencha a linha abaixo.</t>
  </si>
  <si>
    <t>ℹ️ Če je kot pravna oblika podjetja izbrana možnost »drugo«, izpolnite spodnjo vrstico</t>
  </si>
  <si>
    <t>ℹ️ Cuando se elige "otra" como forma jurídica de la empresa, por favor rellene la fila de abajo</t>
  </si>
  <si>
    <t>template_label_NACE_warning</t>
  </si>
  <si>
    <t>ℹ️  Please select a NACE code rather than a category else an ERROR message will appear.</t>
  </si>
  <si>
    <t xml:space="preserve">ℹ️ Vælg venligst en NACE-kode i stedet for en kategori, ellers vil en FEJL-meddelelse blive vist.
</t>
  </si>
  <si>
    <t>ℹ️ Selecteer een NACE-code in plaats van een categorie, anders verschijnt er een FOUTmelding.</t>
  </si>
  <si>
    <t>ℹ️ Veuillez sélectionner un code NACE plutôt qu'une catégorie, sinon un message d'ERREUR apparaîtra.</t>
  </si>
  <si>
    <t>ℹ️ Bitte wählen Sie einen NACE-Code anstelle einer Kategorie aus, da sonst die Meldung FEHLER erscheint.</t>
  </si>
  <si>
    <t>ℹ️  Roghnaigh cód NACE seachas catagóir, nó feicfear teachtaireacht EARRÁIDE.</t>
  </si>
  <si>
    <t>ℹ️ Si prega di selezionare un codice NACE anziché una categoria, altrimenti verrà visualizzato un messaggio di ERRORE.</t>
  </si>
  <si>
    <t>Pasirinkite NACE kodą, o ne kategoriją; priešingu atveju bus rodomas KLAIDOS pranešimas.</t>
  </si>
  <si>
    <t>ℹ️ Proszę wybrać kod NACE zamiast kategorii, w przeciwnym razie pojawi się komunikat BŁĄD.</t>
  </si>
  <si>
    <t>ℹ️ Por favor, selecione um código NACE em vez de uma categoria, caso contrário, aparecerá uma mensagem de ERRO.</t>
  </si>
  <si>
    <t>ℹ️ Izberite kodo NACE namesto kategorije, sicer se bo prikazalo sporočilo o NAPAKI.</t>
  </si>
  <si>
    <t>ℹ️ Por favor, seleccione un código NACE en lugar de una categoría, de lo contrario aparecerá un mensaje de ERROR.</t>
  </si>
  <si>
    <t>template_label_geolocalisation_warning</t>
  </si>
  <si>
    <t>ℹ️  Please be careful to separate each street number and house number using the slash symbol "/" and not the comma ","</t>
  </si>
  <si>
    <t>ℹ️ Vær venlig at sørge for at adskille hvert gadenummer og husnummer med skråstregsymbolet \"/\" og ikke kommaet \",\"</t>
  </si>
  <si>
    <t>ℹ️  Zorg ervoor dat u elk straatnummer en huisnummer  scheidt met het schuine streepje "/" en niet met de komma ","</t>
  </si>
  <si>
    <t>ℹ️ Veuillez faire attention à séparer chaque numéro de rue et numéro de maison en utilisant le symbole slash "/" et non la virgule ","</t>
  </si>
  <si>
    <t>ℹ️ Bitte achten Sie darauf, jede Straßen- und Hausnummer mit dem Schrägstrich-Symbol "/" und nicht mit dem Komma "," zu trennen.</t>
  </si>
  <si>
    <t>ℹ️  Bí cúramach le do thoil gach uimhir sráide agus uimhir tí a scaradh ag baint úsáide as an tsiombail slais "/" agus ní an camóg ","</t>
  </si>
  <si>
    <t>ℹ️ Si prega di fare attenzione a separare ogni numero della via e numero civico utilizzando il simbolo barra "/" e non la virgola ","</t>
  </si>
  <si>
    <t>ℹ️ Prašome atidžiai atskirti kiekvieną gatvės numerį ir namo numerį naudojant pasvirąjį brūkšnį "/" o ne kablelį ",".</t>
  </si>
  <si>
    <t>ℹ️ Proszę pamiętać, aby oddzielać każdy numer ulicy i numer domu za pomocą symbolu ukośnika "/" a nie przecinka ",".</t>
  </si>
  <si>
    <t>ℹ️ Por favor, tenha cuidado para separar cada número de rua e número da casa utilizando o símbolo barra \"/\" e não a vírgula \",\".</t>
  </si>
  <si>
    <t>ℹ️ Prosimo, pazite, da vsako ulično in hišno številko ločite s poševnico "/" in ne z vejico ","</t>
  </si>
  <si>
    <t>ℹ️ Por favor, tenga cuidado de separar cada número de calle y número de casa usando el símbolo de barra "/" y no la coma ",".</t>
  </si>
  <si>
    <t>template_label_energy_consumption_warning</t>
  </si>
  <si>
    <t xml:space="preserve">ℹ️  Please note that the formula present in this cell may be overwritten in case the undertaking wants to directly provide the value. </t>
  </si>
  <si>
    <t>ℹ️ Bemærk, at formlen i denne celle kan blive overskrevet, hvis virksomheden ønsker at angive værdien direkte.</t>
  </si>
  <si>
    <t>ℹ️ Houd er rekening mee dat de formule  in deze cel  kan worden overschreven als de onderneming de waarde direct wil leveren.</t>
  </si>
  <si>
    <t>ℹ️ Veuillez noter que la formule présente dans cette cellule peut être écrasée si l'entité souhaite fournir directement la valeur.</t>
  </si>
  <si>
    <t xml:space="preserve">ℹ️ Bitte beachten Sie, dass die in dieser Zelle vorhandene Formel überschrieben werden kann, falls das Unternehmen den Wert direkt angeben möchte. </t>
  </si>
  <si>
    <t>ℹ️  Tabhair faoi deara le do thoil go bhféadfaí an fhoirmle atá i láthair sa chill seo a fhorscríobh i gcás gur mian leis an ngnóthas an luach a sholáthar go díreach.</t>
  </si>
  <si>
    <t>ℹ️ Si prega di notare che la formula presente in questa cella potrebbe essere sovrascritta nel caso in cui l'impresa voglia fornire direttamente il valore.</t>
  </si>
  <si>
    <t>ℹ️ Atkreipkite dėmesį, kad šiame langelyje esanti formulė gali būti perrašyta, jei įmonė nori reikšmę pateikti tiesiogiai.</t>
  </si>
  <si>
    <t>ℹ️ Proszę zauważyć, że formuła obecna w tej komórce może zostać nadpisana, jeśli jednostka zdecyduje się bezpośrednio wprowadzić wartość.</t>
  </si>
  <si>
    <t>ℹ️ Por favor, note que a fórmula presente nesta célula pode ser sobrescrita caso a empresa queira fornecer diretamente o valor.</t>
  </si>
  <si>
    <t>ℹ️ Upoštevajte, da se lahko formula v tem polju prepiše, če želi podjetje neposredno navesti vrednost.</t>
  </si>
  <si>
    <t>ℹ️ Tenga en cuenta que la fórmula presente en esta celda puede ser sobrescrita en caso de que la empresa quiera proporcionar directamente el valor.</t>
  </si>
  <si>
    <t>template_label_scope_3_categories_warning</t>
  </si>
  <si>
    <t>ℹ️  Scope 3 categories according to the GHG protocol might help to calculate the total Scope 3 GHG emissions. In case the undertaking wants to, it can directly provide the Total Scope 3 GHG emissions in the respective cell.</t>
  </si>
  <si>
    <t xml:space="preserve">ℹ️ Kategorier for Scope 3 i henhold til GHG-protokollen kan hjælpe med at beregne de samlede Scope 3-drivhusgasemissioner. Hvis virksomheden ønsker det, kan den direkte oplyse de samlede Scope 3-drivhusgasemissioner i den respektive celle. 
</t>
  </si>
  <si>
    <t>ℹ️ De Scope 3-categorieën volgens het GHGprotocol kunnen helpen bij het berekenen van de totale broeikasgasemissies van Scope 3. Als de onderneming dat wenst, kan zij de totale broeikasgasemissies van Scope 3 rechtstreeks in de betreffende cel verstrekken.</t>
  </si>
  <si>
    <t xml:space="preserve">ℹ️ Les catégories du scope 3 selon le protocole GES (GHG Protocol) peuvent aider à calculer les émissions totales de GES du scope 3. Si l'entreprise le souhaite, elle peut directement fournir les émissions totales de GES du scope 3 dans la cellule correspondante. </t>
  </si>
  <si>
    <t xml:space="preserve">ℹ️ Die Scope 3-Kategorien gemäß THG-Protokoll können dabei helfen, die gesamten Scope 3-Treibhausgasmissionen zu berechnen. Falls das Unternehmen dies möchte, kann es die gesamten Scope 3-Treibhausgasemissionen direkt in der jeweiligen Zelle angeben. </t>
  </si>
  <si>
    <t>ℹ️  D'fhéadfadh catagóirí Raon Feidhme 3 de réir an phrótacail gás ceaptha teasa (GCT) cabhrú le hastaíochtaí iomlána GCT Raon Feidhme 3 a ríomh. I gcás gur mian leis an ngnóthas, is féidir leis na hastaíochtaí GCT iomlána Raon Feidhme 3 a sholáthar go díreach sa chill faoi seach.</t>
  </si>
  <si>
    <t xml:space="preserve">ℹ️ Le categorie di ambito 3 secondo il GHG Protocol possono aiutare a calcolare le emissioni totali di gas a effetto serra di ambito 3. Nel caso in cui l'impresa lo desideri, può fornire direttamente le emissioni totali di gas a effetto serra di ambito 3 nella rispettiva cella.
</t>
  </si>
  <si>
    <t>Trečios apimties kategorijos pagal ŠESD protokolą gali padėti apskaičiuoti bendras trečios apimties ŠESD emisijas. Jei įmonė pageidauja, jis gali tiesiogiai pateikti bendras trečios apimties ŠESD emisijas atitinkamame langelyje.</t>
  </si>
  <si>
    <t>ℹ️ Kategorie zakresu 3 zgodnie z protokołem GHG mogą pomóc w obliczeniu całkowitej emisji gazów cieplarnianych zakresu 3. W przypadku, gdy jednostka zechce, może bezpośrednio podać całkowitą emisję gazów cieplarnianych zakresu 3 w odpowiedniej komórce.</t>
  </si>
  <si>
    <t xml:space="preserve">ℹ️ As categorias do Âmbito 3 segundo o Protocolo GEE podem ajudar a calcular as emissões totais de GEE do Âmbito 3. Caso a empresa deseje, pode fornecer diretamente as Emissões Totais de GEE do Âmbito 3 na célula respetiva.
</t>
  </si>
  <si>
    <t>ℹ️ Kategorije obsega 3 v skladu s Protokolom o toplogrednih plinih lahko pomagajo pri izračunu skupnih emisij toplogrednih plinov obsega 3. Če podjetje želi, lahko v ustreznem polju neposredno navede skupne emisije toplogrednih plinov obsega 3.</t>
  </si>
  <si>
    <t>ℹ️ Las categorías del Alcance 3 según el protocolo de GEI pueden ayudar a calcular las emisiones totales de GEI del Alcance 3. En caso de que la empresa lo desee, puede proporcionar directamente las emisiones totales de GEI del Alcance 3 en la celda correspondiente.</t>
  </si>
  <si>
    <t>template_label_site_ID_value_inconsistency_warning</t>
  </si>
  <si>
    <t>ℹ️  If a validation related to value inconsistency is displayed, please select a site ID that is different from one of those previously selected.</t>
  </si>
  <si>
    <t>ℹ️ Hvis der vises en validering relateret til værdikonsistens, bedes du vælge et site-ID, der er forskelligt fra et af dem, der tidligere er valgt.</t>
  </si>
  <si>
    <t>ℹ️ Als er een validatie  wordt weergegeven die betrekking heeft op inconsistente waarden, selecteer dan een site-ID die verschilt van een van de eerdere selectie.</t>
  </si>
  <si>
    <t>ℹ️ Si une validation liée à une incohérence de valeur s'affiche, veuillez sélectionner un identifiant de site différent de ceux précédemment sélectionnés.</t>
  </si>
  <si>
    <t>ℹ️ Wenn eine Überprüfung im Zusammenhang mit inkonsistenten Werten angezeigt wird, wählen Sie bitte eine Standort-Nr. aus, die sich von den zuvor ausgewählten unterscheidet.</t>
  </si>
  <si>
    <t>ℹ️  Má thaispeántar bailíochtú a bhaineann le neamhréireacht luacha, roghnaigh aitheantóir suímh atá difriúil ó cheann de na cinn a roghnaíodh roimhe seo.</t>
  </si>
  <si>
    <t>ℹ️ Se viene visualizzata una convalida relativa all'incoerenza di valore, selezionare un ID sito diverso da quelli precedentemente selezionati.</t>
  </si>
  <si>
    <t>ℹ️ Jei rodoma vertės neatitikimo susijusi patikra, pasirinkite kitokį svetainės ID nei anksčiau pasirinkti.</t>
  </si>
  <si>
    <t>ℹ️ Jeśli pojawi się walidacja dotycząca niespójności wartości, proszę wybrać identyfikator lokalizacji (site ID) różny od wcześniej wybranych.</t>
  </si>
  <si>
    <t>ℹ️ Se for apresentada uma validação relacionada com inconsistência de valores, selecione um ID do local diferente de um dos anteriormente selecionados.</t>
  </si>
  <si>
    <t>ℹ️ Če se prikaže preverjanje, povezano z nedoslednostjo vrednosti, izberite ID spletnega mesta, ki se razlikuje od enega od prej izbranih.</t>
  </si>
  <si>
    <t>ℹ️ Si se muestra una validación relacionada con la inconsistencia de valores, seleccione un ID de sitio diferente a uno de los seleccionados previamente.</t>
  </si>
  <si>
    <t>template_label_type_of_waste_warning</t>
  </si>
  <si>
    <t>ℹ️  Please select a Type of waste (Hazardous or Non-Hazardous) rather than a category else an ERROR message will appear.</t>
  </si>
  <si>
    <t xml:space="preserve">ℹ️ Vælg venligst en affaldstype (farligt eller ikke-farligt) i stedet for en kategori, ellers vil meldingen FEJL  fremkomme. </t>
  </si>
  <si>
    <t>ℹ️ Selecteer een type afval (gevaarlijk of niet-gevaarlijk) in plaats van een categorie, anders verschijnt er een FOUTmelding.</t>
  </si>
  <si>
    <t xml:space="preserve">ℹ️ Veuillez sélectionner un Type de déchet (dangereux ou non dangereux) plutôt qu'une catégorie, sinon un message d'ERREUR apparaîtra."
</t>
  </si>
  <si>
    <t>ℹ️ Bitte wählen Sie die Art des Abfalls (gefährlich oder nicht gefährlich) anstelle einer Kategorie, andernfalls erscheint die Meldung FEHLER.</t>
  </si>
  <si>
    <t>ℹ️  Roghnaigh Cineál dramhaíola (Guaiseach nó Neamh-Ghuaiseach) seachas catagóir nó beidh teachtaireacht EARRÁIDE le feiceáil.</t>
  </si>
  <si>
    <t>ℹ️ Si prega di selezionare un Tipo di rifiuto (Pericoloso o Non Pericoloso) piuttosto che una categoria altrimenti apparirà un messaggio di ERRORE.</t>
  </si>
  <si>
    <t>ℹ️ Prašome pasirinkti atliekų rūšį (pavojingas arba nepavojingas), o ne kategoriją, kitaip bus parodytas KLAIDOS pranešimas.</t>
  </si>
  <si>
    <t>ℹ️ Proszę wybrać Rodzaj odpadu (niebezpieczny lub inne niż niebezpieczny), a nie kategorię, w przeciwnym razie pojawi się komunikat BŁĄD.</t>
  </si>
  <si>
    <t>ℹ️ Por favor, selecione um Tipo de resíduo (Perigoso ou Não Perigoso) em vez de uma categoria, caso contrário aparecerá uma mensagem de ERRO.</t>
  </si>
  <si>
    <t>ℹ️ Izberite vrsto odpadkov (nevarni ali nenevarni) namesto kategorije, sicer se bo prikazalo sporočilo o NAPAKI.</t>
  </si>
  <si>
    <t>ℹ️ Por favor seleccione un Tipo de residuo (Peligroso o No Peligroso) en lugar de una categoría, de lo contrario aparecerá un mensaje de ERROR.</t>
  </si>
  <si>
    <t>template_label_number_of_employees_warning</t>
  </si>
  <si>
    <t xml:space="preserve">ℹ️  Please make sure that the total number of employees is the same as the one provided in the "General Information" sheet cell E55
</t>
  </si>
  <si>
    <t xml:space="preserve">ℹ️ Sørg venligst for, at det samlede antal ansatte er det samme som det, der er angivet i arket "Generelle oplysninger" celle E55
</t>
  </si>
  <si>
    <t xml:space="preserve">ℹ️ Zorg ervoor dat het totale aantal medewerkers hetzelfde is als het aantal dat is opgegeven in cel E55 van het blad "Algemene Informatie" 
</t>
  </si>
  <si>
    <t>ℹ️ Veuillez vous assurer que le nombre total de salariés est identique à celui indiqué dans la cellule E55 de la feuille « Informations générales »</t>
  </si>
  <si>
    <t>ℹ️ Bitte stellen Sie sicher, dass die Gesamtzahl der Beschäftigten mit der in Zelle E55 des Tabellenblatts „General Information“ angegebenen Zahl übereinstimmt.</t>
  </si>
  <si>
    <t xml:space="preserve">ℹ️  Déan cinnte le do thoil go bhfuil líon iomlán na bhfostaithe mar an gcéanna leis an gceann a chuirtear ar fáil sa chill bhileog "Faisnéis Ghinearálta" E55
</t>
  </si>
  <si>
    <t>ℹ️ Si prega di assicurarsi che il numero totale di dipendenti sia lo stesso indicato nella cella E55 del foglio "Informazioni Generali"</t>
  </si>
  <si>
    <t>ℹ️ Prašome įsitikinti, kad bendras darbuotojų skaičius yra toks pat, kaip nurodyta skiltyje „Bendroji informacija“, langelyje E55</t>
  </si>
  <si>
    <t>ℹ️ Prosimy upewnić się, że łączna liczba pracowników jest taka sama jak podana w arkuszu "Informacje ogólne" w komórce E55.</t>
  </si>
  <si>
    <t>ℹ️ Por favor, certifique-se de que o número total de trabalhadores é igual ao indicado na célula E55 da folha "Informações Gerais"</t>
  </si>
  <si>
    <t>ℹ️ Prosimo, prepričajte se, da je skupno število zaposlenih enako tistemu, ki je navedeno na zavihku »Splošne informacije«, polju E55.</t>
  </si>
  <si>
    <t>ℹ️ Por favor, asegúrese de que el número total de empleados sea el mismo que el proporcionado en la celda E55 de la hoja "Información General"</t>
  </si>
  <si>
    <t>template_label_health_and_safety_formula_warning</t>
  </si>
  <si>
    <t>ℹ️  The undertaking can modify the value in this cell as 2,000 hours is based on the assumption that one full-time worker works 2,000 hours per year. This figure may vary by country or sector, depending on national rules or collective bargaining agreements.</t>
  </si>
  <si>
    <t xml:space="preserve">ℹ️ Virksomheden kan ændre værdien i denne celle, da 2.000 timer er baseret på antagelsen om, at en fuldtidsansat arbejder 2.000 timer om året. Dette tal kan variere efter land eller sektor, afhængigt af nationale regler eller kollektive overenskomster. 
</t>
  </si>
  <si>
    <t>ℹ️ De onderneming kan de waarde in deze cel aanpassen, aangezien 2.000 uur is gebaseerd op de veronderstelling dat één voltijdse werknemer 2.000 uur per jaar werkt. Dit cijfer kan variëren per land of sector, afhankelijk van nationale regels of collectieve arbeidsovereenkomsten.</t>
  </si>
  <si>
    <t>ℹ️ L'entreprise peut modifier la valeur de cette cellule car 2 000 heures est basé sur l'hypothèse qu'un travailleur à temps plein travaille 2 000 heures par an. Ce chiffre peut varier selon le pays ou le secteur, en fonction des règles nationales ou des conventions collectives</t>
  </si>
  <si>
    <t xml:space="preserve">ℹ️ Das Unternehmen kann den Wert in diesem Feld ändern, da die Annahme von 2.000 Stunden darauf basiert, dass ein Vollzeitmitarbeiter 2.000 Stunden pro Jahr arbeitet. Dieser Wert kann je nach Land oder Wirtschaftszweig variieren, abhängig von nationalen Vorschriften oder Tarifvereinbarungen. </t>
  </si>
  <si>
    <t>ℹ️  Is féidir leis an ngnóthas an luach sa chill seo a mhodhnú toisc go bhfuil 2,000 uair an chloig bunaithe ar an toimhde go n-oibríonn oibrí lánaimseartha amháin 2,000 uair an chloig in aghaidh na bliana. D'fhéadfadh an figiúr seo a bheith éagsúil de réir tíre nó earnála, ag brath ar rialacha náisiúnta nó ar chomhaontuithe cómhargála.</t>
  </si>
  <si>
    <t>ℹ️ L'impresa può modificare il valore in questa cella poiché le 2.000 ore si basano sull'assunzione che un lavoratore a tempo pieno lavori 2.000 ore all'anno. Questo valore può variare a seconda del paese o del settore, in base a regole nazionali o accordi collettivi di lavoro.</t>
  </si>
  <si>
    <t>ℹ️ Įmonė gali pakeisti šios langelio vertę, nes 2 000 valandų yra pagrįsta prielaida, kad vienas visą darbo dieną dirbantis darbuotojas per metus dirba 2 000 valandų. Šis skaičius gali skirtis priklausomai nuo šalies ar sektoriaus, atsižvelgiant į nacionalinius teisės aktus arba kolektyvines sutartis.</t>
  </si>
  <si>
    <t>ℹ️ Jednostka może zmodyfikować wartość w tej komórce, ponieważ 2 000 godzin jest oparte na założeniu, że jeden pracownik zatrudniony na pełny etat pracuje 2 000 godzin rocznie. Ta wartość może się różnić w odniesieniu do kraju lub sektora, w zależności od krajowych przepisów lub układów zbiorowych pracy.</t>
  </si>
  <si>
    <t>ℹ️ A empresa pode modificar o valor nesta célula, uma vez que 2.000 horas se baseiam na suposição de que um trabalhador a tempo completo trabalha 2.000 horas por ano. Este valor pode variar consoante o país ou setor, dependendo das regras nacionais ou dos acordos coletivos de trabalho.</t>
  </si>
  <si>
    <t>ℹ️ Podjetje lahko spremeni vrednost v tem polju, saj 2000 ur temelji na predpostavki, da en delavec s polnim delovnim časom dela 2000 ur na leto. Ta številka se lahko razlikuje glede na državo ali sektor, odvisno od nacionalnih predpisov ali kolektivnih pogodb.</t>
  </si>
  <si>
    <t xml:space="preserve">ℹ️ La empresa puede modificar el valor en esta celda, ya que las 2.000 horas se basan en la suposición de que un trabajador a tiempo completo trabaja 2.000 horas al año. Esta cifra puede variar según el país o sector, dependiendo de las normas nacionales o convenios colectivos aplicables. 
</t>
  </si>
  <si>
    <t>template_label_bold_omitted_information</t>
  </si>
  <si>
    <t>ℹ️  Whenever a disclosure is fully omitted because sensitive or classfied, it will be highligted in bold</t>
  </si>
  <si>
    <t>ℹ️  Når en oplysning fuldstændigt udelades, fordi den er følsom eller klassificeret, vil den blive fremhævet med fed skrift</t>
  </si>
  <si>
    <t>ℹ️  Wanneer een openbaarmaking volledig wordt weggelaten omdat ze gevoelig of geclassificeerd is, wordt deze vetgedrukt gepresenteerd</t>
  </si>
  <si>
    <t>ℹ️  Chaque fois qu’une divulgation est complètement omise parce qu’elle est sensible ou classifiée, elle sera surlignée en gras</t>
  </si>
  <si>
    <t>ℹ️  Immer wenn eine Offenlegung als sensibel oder klassifiziert weggelassen wird, wird sie fett hervorgehoben</t>
  </si>
  <si>
    <t>ℹ️  Aon uair a fhágtar nochtadh ar lár go hiomlán toisc go bhfuil sé íogair nó aicmithe, beidh sé ardaithe i gcló trom</t>
  </si>
  <si>
    <t>ℹ️  Ogni volta che una divulgazione viene completamente omessa perché sensibile o classificata, sarà evidenziata in grassetto</t>
  </si>
  <si>
    <t>ℹ️  Kai atskleidimas visiškai praleidžiamas dėl slapto ar įslaptinto, jis bus paryškintas</t>
  </si>
  <si>
    <t>ℹ️  Za każdym razem, gdy ujawnienie jest całkowicie pomijane z powodu wrażliwości lub utajnienia, jest ono oznaczone pogrubieniem</t>
  </si>
  <si>
    <t>ℹ️  Sempre que uma divulgação for totalmente omitida por ser sensível ou classificada, ela será destacada em negrito</t>
  </si>
  <si>
    <t>ℹ️ Kadar je razkritje v celoti izpuščeno zaradi občutljive ali zaupne narave, bo označeno s krepko pisavo.</t>
  </si>
  <si>
    <t>ℹ️  Siempre que una divulgación se omita completamente por ser sensible o clasificada, se resaltará en negrita</t>
  </si>
  <si>
    <t>template_label_GHG_calculator</t>
  </si>
  <si>
    <t>ℹ️ Check EFRAG website for a non-exhaustive list of GHG calculators.</t>
  </si>
  <si>
    <t>ℹ️ Tjek EFRAGs hjemmeside for en ikke-udtømmende liste over drivhusgasberegnere.</t>
  </si>
  <si>
    <t>ℹ️ Bekijk de EFRAG-website voor een niet-uitputtende lijst van BKG-calculators.</t>
  </si>
  <si>
    <t>ℹ️ Consultez le site web de l’EFRAG pour une liste non exhaustive de calculateurs de GES.</t>
  </si>
  <si>
    <t>ℹ️ Besuchen Sie die EFRAG-Website für eine nicht vollständige Liste der THG-Rechner.</t>
  </si>
  <si>
    <t>ℹ️ Seiceáil láithreán gréasáin EFRAG le haghaidh liosta neamhuileghabhálach d'áireamháin ghnó ceaptha teasa.</t>
  </si>
  <si>
    <t>ℹ️ Controlla il sito EFRAG per un elenco non esaustivo di calcolatori di gas serra.</t>
  </si>
  <si>
    <t>ℹ️ EFRAG svetainėje rasite neišsamų ŠESD skaičiuoklių sąrašą.</t>
  </si>
  <si>
    <t>ℹ️ Na stronie internetowej EFRAG znajduje się niewyczerpująca lista kalkulatorów emisji gazów cieplarnianych.</t>
  </si>
  <si>
    <t>ℹ️ Consulte o sítio Web do EFRAG para obter uma lista não exaustiva de calculadoras de GEE.</t>
  </si>
  <si>
    <t>ℹ️ Za neizčrpen seznam kalkulatorjev toplogrednih plinov preverite spletno stran EFRAG.</t>
  </si>
  <si>
    <t>ℹ️ Consulte el sitio web del EFRAG para obtener una lista no exhaustiva de calculadoras de GEI.</t>
  </si>
  <si>
    <t>template_label_supporting_guidance_c2</t>
  </si>
  <si>
    <t>ℹ️ VSME Supporting Guidance on Disclosure C2 - Comprehensive Module (Practices, Policies, and Future Initiatives)</t>
  </si>
  <si>
    <t>ℹ️ VSME Støttevejledning om Oplysning C2 - Omfattende modul (Praksisser, Politikker og Fremtidige Initiativer)</t>
  </si>
  <si>
    <t>ℹ️ VSME Ondersteunende Richtlijnen voor Openbaarmaking C2 - Uitgebreide Module (Praktijken, Beleid en Toekomstige Initiatieven)</t>
  </si>
  <si>
    <t>ℹ️ Directives de soutien VSME sur la divulgation C2 - Module complet (Pratiques, politiques et initiatives futures)</t>
  </si>
  <si>
    <t>ℹ️ VSME-Unterstützungsleitlinien zur Offenlegung C2 – Umfassendes Modul (Praktiken, Richtlinien und zukünftige Initiativen)</t>
  </si>
  <si>
    <t xml:space="preserve"> ℹ️ Treoir Tacaíochta VSME maidir le Nochtadh C2 - Modúl Cuimsitheach (Cleachtais, Beartais, agus Tionscnaimh sa Todhchaí)</t>
  </si>
  <si>
    <t>ℹ️ Linee guida di supporto VSME sulla divulgazione C2 - Modulo completo (Pratiche, Politiche e Iniziative Future)</t>
  </si>
  <si>
    <t>ℹ️ VSME pagalbinės gairės dėl informacijos atskleidimo C2 – išsamus modulis (praktika, politika ir ateities iniciatyvos)</t>
  </si>
  <si>
    <t>ℹ️ VSME Wspierające Wytyczne dotyczące ujawniania C2 – Moduł kompleksowy (Praktyki, Polityki i Przyszłe Inicjatywy)</t>
  </si>
  <si>
    <t>ℹ️ Orientação de Apoio do VSME sobre Divulgação C2 - Módulo Abrangente (Práticas, Políticas e Iniciativas Futuras)</t>
  </si>
  <si>
    <t>ℹ️ Podporne smernice VSME o razkritju C2 - Celovit modul (Prakse, politike in prihodnje pobude)</t>
  </si>
  <si>
    <t>ℹ️ Guía de apoyo de VSME sobre divulgación C2 - Módulo integral (Prácticas, políticas e iniciativas futuras)</t>
  </si>
  <si>
    <t>template_label_supporting_guidance_c3</t>
  </si>
  <si>
    <t>ℹ️ VSME Supporting guide on Disclosure C3 - Comprehensive Module (GHG reduction targets and climate transition)</t>
  </si>
  <si>
    <t>ℹ️ VSME-støttevejledning om oplysning C3 – Omfattende modul (mål for reduktion af drivhusgasser og klimaomstilling)</t>
  </si>
  <si>
    <t>ℹ️ VSME Ondersteunende gids over Openbaarmaking C3 – Uitgebreide module (THG-reductiedoelstellingen en klimaattransitie)</t>
  </si>
  <si>
    <t>ℹ️ Guide de soutien VSME sur la divulgation C3 – Module complet (objectifs de réduction des GES et transition climatique)</t>
  </si>
  <si>
    <t>ℹ️ VSME-Unterstützungsleitfaden zur Offenlegung C3 – Umfassendes Modul (Treibhausgasreduktionsziele und Klimawandelumstellung)</t>
  </si>
  <si>
    <t>ℹ️ VSME Treoir Tacaíochta maidir le Nochtadh C3 – Modúl Cuimsitheach (spriocanna laghdaithe gás ceaptha teasa agus aistriú aeráide)</t>
  </si>
  <si>
    <t>ℹ️ Guida di supporto VSME sulla Disclosure C3 – Modulo Completo (obiettivi di riduzione dei gas serra e transizione climatica)</t>
  </si>
  <si>
    <t>ℹ️ VSME pagalbinis informacijos atskleidimo vadovas C3 – išsamus modulis (ŠESD mažinimo tikslai ir klimato kaitos pertvarka)</t>
  </si>
  <si>
    <t>ℹ️ VSME Przewodnik wspierający ujawnianie C3 – Moduł kompleksowy (cele redukcji emisji gazów cieplarnianych i transformacja klimatyczna)</t>
  </si>
  <si>
    <t>ℹ️ Guia de apoio VSME sobre Divulgação C3 – Módulo Abrangente (metas de redução de GEE e transição climática)</t>
  </si>
  <si>
    <t>ℹ️ Podporni vodnik VSME o razkritju C3 - Celovit modul (Cilji za zmanjšanje emisij toplogrednih plinov in podnebni prehod)</t>
  </si>
  <si>
    <t>ℹ️ Guía de apoyo de VSME sobre divulgación C3 – Módulo integral (objetivos de reducción de gases de emersión y transición climática)</t>
  </si>
  <si>
    <t>template_label_supporting_guidance_c7</t>
  </si>
  <si>
    <t>ℹ️ VSME Supporting Guide to Disclosure C7 - Comprehensive Module (Severe negative human rights incidents (paragraph 62(c))</t>
  </si>
  <si>
    <t>ℹ️ VSME Støttevejledning til Oplysning C7 – Omfattende modul (Alvorlige negative menneskerettighedshændelser (afsnit 62(c))</t>
  </si>
  <si>
    <t>ℹ️ VSME Ondersteunende Gids voor Openbaarmaking C7 – Uitgebreide Module (Ernstige negatieve mensenrechtenincidenten (paragraaf 62(c))</t>
  </si>
  <si>
    <t>ℹ️ Guide de soutien VSME à la divulgation C7 – Module complet (Incidents graves négatifs liés aux droits de l’homme (paragraphe 62(c))</t>
  </si>
  <si>
    <t>ℹ️ VSME Supporting Guide to Disclosure C7 – Umfassendes Modul (Schwere negative Menschenrechtsvorfälle (Absatz 62(c))</t>
  </si>
  <si>
    <t>ℹ️ Treoir Tacaíochta VSME maidir le Nochtadh C7 – Modúl Cuimsitheach (Teagmhais dhiúltacha tromchúiseacha ar chearta an duine (mír 62(c))</t>
  </si>
  <si>
    <t>ℹ️ Guida di supporto VSME alla Divulgazione C7 – Modulo Completo (Gravi episodi negativi di diritti umani (paragrafo 62(c))</t>
  </si>
  <si>
    <t>ℹ️ VSME pagalbinis informacijos atskleidimo vadovas C7 – išsamus modulis (Sunkūs neigiami žmogaus teisių incidentai (62 dalies c punktas))</t>
  </si>
  <si>
    <t>ℹ️ VSME Wspierający Przewodnik po ujawnianiu C7 – Moduł kompleksowy (Poważne negatywne incydenty dotyczące praw człowieka (paragraf 62(c))</t>
  </si>
  <si>
    <t>ℹ️ Guia de Apoio VSME para Divulgação C7 – Módulo Abrangente (Incidentes negativos graves de direitos humanos (parágrafo 62(c))</t>
  </si>
  <si>
    <t>ℹ️ Podporni vodnik VSME o razkritju C7 - Celovit modul (Hudi negativni incidenti na področju človekovih pravic (odstavek 62(c))</t>
  </si>
  <si>
    <t>ℹ️ Guía de Apoyo de VSME para la Divulgación C7 – Módulo Completo (Incidentes negativos graves de derechos humanos (párrafo 62(c))</t>
  </si>
  <si>
    <t>template_label_information_on_sensitive_information_before_converting</t>
  </si>
  <si>
    <t>ℹ️ WARNING: Information inserted in VSME Digital Template but marked as classified or sensitive information. Please make sure to remove such information from the VSME Digital Template, else it will converted in the Inline XBRL report.</t>
  </si>
  <si>
    <t>ℹ️ ADVARSEL: Information indsat i VSME Digital Template, men markeret som klassificeret eller følsom information. Sørg venligst for at fjerne sådanne oplysninger fra VSME Digital Template, ellers vil de blive konverteret i Inline XBRL-rapporten.</t>
  </si>
  <si>
    <t>ℹ️ WAARSCHUWING: Informatie ingevoegd in het VSME Digitale Sjabloon maar gemarkeerd als geclassificeerde of gevoelige informatie. Zorg ervoor dat je deze informatie uit de VSME Digital Template verwijdert, anders wordt deze omgezet in het Inline XBRL-rapport.</t>
  </si>
  <si>
    <t>ℹ️ AVERTISSEMENT : Informations insérées dans le modèle numérique VSME mais marquées comme informations classifiées ou sensibles. Veuillez vous assurer de retirer ces informations du modèle numérique VSME, sinon elles seront converties dans le rapport Inline XBRL.</t>
  </si>
  <si>
    <t>ℹ️ WARNUNG: Informationen wurden in der VSME-Digitalvorlage eingefügt, aber als klassifizierte oder sensible Informationen gekennzeichnet. Bitte entfernen Sie solche Informationen aus der VSME Digital Template, sonst werden sie im Inline XBRL-Bericht umgewandelt.</t>
  </si>
  <si>
    <t>ℹ️ RABHADH: Faisnéis a chuirtear isteach i dTeimpléad Digiteach VSME ach atá marcáilte mar fhaisnéis rúnaicmithe nó íogair. Déan cinnte go mbainfidh tú an t-eolas sin as an Teimpléad Digiteach VSME, ar shlí eile tiontófar é sa tuarascáil Inline XBRL.</t>
  </si>
  <si>
    <t>ℹ️ ATTENZIONE: Informazioni inserite nel VSME Digital Template ma contrassegnate come informazioni classificate o sensibili. Assicurati di rimuovere tali informazioni dal modello digitale VSME, altrimenti verranno convertite nel report Inline XBRL.</t>
  </si>
  <si>
    <t>ℹ️ ĮSPĖJIMAS: Informacija, įterpta į VSME skaitmeninį šabloną, bet pažymėta kaip įslaptinta arba neskelbtina informacija. Būtinai pašalinkite tokią informaciją iš VSME skaitmeninio šablono, kitaip ji bus konvertuota į Inline XBRL ataskaitą.</t>
  </si>
  <si>
    <t>ℹ️ UWAGA: Informacje wprowadzone do VSME Digital Template, ale oznaczone jako informacje tajne lub wrażliwe. Prosimy o usunięcie takich informacji z szablonu VSME Digital Template, w przeciwnym razie zostaną one przekształcone w raporcie Inline XBRL.</t>
  </si>
  <si>
    <t>ℹ️ AVISO: Informações inseridas no Modelo Digital VSME, mas marcadas como informações classificadas ou sensíveis. Por favor, certifique-se de remover essas informações do Modelo Digital VSME, caso contrário elas serão convertidas no relatório Inline XBRL.</t>
  </si>
  <si>
    <t>ℹ️ OPOZORILO: Informacije so bile vnesene v digitalno predlogo VSME, vendar označene kot zaupne ali občutljive informacije. Prosimo, da te informacije odstranite iz digitalne predloge VSME, sicer bodo pretvorjene v Vgrajeno poročilo XBRL.</t>
  </si>
  <si>
    <t>ℹ️ ADVERTENCIA: Información insertada en la Plantilla Digital VSME pero marcada como información clasificada o sensible. Por favor, asegúrese de eliminar dicha información de la plantilla digital VSME, de lo contrario se convertirá en el informe Inline XBRL.</t>
  </si>
  <si>
    <t>template_label_warning_microsoft_excel</t>
  </si>
  <si>
    <t>ℹ️ WARNING: The Digital Template was developed and tested using Microsoft Excel 365. Functionality may be limited or incorrect when using other spreadsheet applications or older versions of Excel.</t>
  </si>
  <si>
    <t>ℹ️ ADVARSEL: Den digitale skabelon blev udviklet og testet med Microsoft Excel 365. Funktionaliteten kan være begrænset eller forkert, når man bruger andre regnearksapplikationer eller ældre versioner af Excel.</t>
  </si>
  <si>
    <t>ℹ️ WAARSCHUWING: Het Digitale Sjabloon is ontwikkeld en getest met Microsoft Excel 365. De functionaliteit kan beperkt of onjuist zijn bij het gebruik van andere spreadsheetapplicaties of oudere versies van Excel.</t>
  </si>
  <si>
    <t>ℹ️ AVERTISSEMENT : Le modèle numérique a été développé et testé avec Microsoft Excel 365. Les fonctionnalités peuvent être limitées ou incorrectes lors de l’utilisation d’autres applications de tableaux Excel ou d’anciennes versions d’Excel.</t>
  </si>
  <si>
    <t>ℹ️ WARNUNG: Die digitale Vorlage wurde mit Microsoft Excel 365 entwickelt und getestet. Die Funktionalität kann bei Verwendung anderer Tabellenkalkulationsanwendungen oder älterer Excel-Versionen eingeschränkt oder fehlerhaft sein.</t>
  </si>
  <si>
    <t>ℹ️ RABHADH: Forbraíodh agus tástáladh an Teimpléad Digiteach ag baint úsáide as Microsoft Excel 365. D'fhéadfadh feidhmiúlacht a bheith teoranta nó mícheart nuair a úsáideann feidhmchláir scarbhileog eile nó leaganacha níos sine de Excel.</t>
  </si>
  <si>
    <t>ℹ️ ATTENZIONE: Il Template Digitale è stato sviluppato e testato utilizzando Microsoft Excel 365. Le funzionalità possono essere limitate o errate quando si utilizzano altre applicazioni di fogli di calcolo o versioni più vecchie di Excel.</t>
  </si>
  <si>
    <t>ℹ️ ĮSPĖJIMAS: Skaitmeninis šablonas buvo sukurtas ir išbandytas naudojant Microsoft Excel 365. Funkcijos gali būti ribotos arba neteisingos, kai naudojamos kitos skaičiuoklės programos arba senesnės "Excel" versijos.</t>
  </si>
  <si>
    <t>ℹ️ UWAGA: Szablon cyfrowy został opracowany i przetestowany przy użyciu Microsoft Excel 365. Funkcjonalność może być ograniczona lub nieprawidłowa podczas korzystania z innych arkuszy kalkulacyjnych lub starszych wersji Excela.</t>
  </si>
  <si>
    <t>ℹ️ AVISO: O Template Digital foi desenvolvido e testado usando Microsoft Excel 365. A funcionalidade pode ser limitada ou incorreta ao usar outros aplicativos de planilha ou versões mais antigas do Excel.</t>
  </si>
  <si>
    <t>ℹ️ OPOZORILO: Digitalna predloga je bila razvita in preizkušena z uporabo programa Microsoft Excel 365. Funkcionalnost je lahko omejena ali napačna pri uporabi drugih programov za preglednice ali starejših različic programa Excel.</t>
  </si>
  <si>
    <t>ℹ️ ADVERTENCIA: La plantilla digital fue desarrollada y probada usando Microsoft Excel 365. La funcionalidad puede ser limitada o incorrecta al utilizar otras aplicaciones de hojas de cálculo o versiones anteriores de Excel.</t>
  </si>
  <si>
    <t>template_label_buttons_footnotes</t>
  </si>
  <si>
    <t>ℹ️ If needed, the expansion buttons of the left can be used to increase the number of rows and associate the same footnote to several disclosures</t>
  </si>
  <si>
    <t>ℹ️ Hvis nødvendigt kan udvidelsesknapperne til venstre bruges til at øge antallet af rækker og knytte den samme fodnote til flere afsløringer</t>
  </si>
  <si>
    <t>ℹ️ Indien nodig kunnen de uitbreidingsknoppen aan de linkerkant worden gebruikt om het aantal rijen te vergroten en dezelfde voetnoot aan verschillende openbaringen te koppelen</t>
  </si>
  <si>
    <t>ℹ️ Si nécessaire, les boutons d’extension de gauche peuvent être utilisés pour augmenter le nombre de lignes et associer la même note de bas de page à plusieurs divulgations</t>
  </si>
  <si>
    <t>ℹ️ Falls nötig, können die Erweiterungstasten links verwendet werden, um die Anzahl der Zeilen zu erhöhen und dieselbe Fußnote mehreren Offenbarungen zuzuordnen</t>
  </si>
  <si>
    <t>ℹ️ Más gá, is féidir na cnaipí leathnaithe ar chlé a úsáid chun líon na sraitheanna a mhéadú agus an fonóta céanna a cheangal le nochtadh éagsúla</t>
  </si>
  <si>
    <t>ℹ️ Se necessario, i pulsanti di espansione a sinistra possono essere usati per aumentare il numero di righe e associare la stessa nota a diverse dichiarazioni</t>
  </si>
  <si>
    <t>ℹ️ Jei reikia, kairėje esančiais išplėtimo mygtukais galima padidinti eilučių skaičių ir susieti tą pačią išnašą su keliais atskleidimais</t>
  </si>
  <si>
    <t>ℹ️ W razie potrzeby można użyć przycisków rozszerzających po lewej stronie, aby zwiększyć liczbę wierszy i przypisać tę samą przypisę do kilku ujawnień</t>
  </si>
  <si>
    <t>ℹ️ Se necessário, os botões de expansão à esquerda podem ser usados para aumentar o número de linhas e associar a mesma nota de rodapé a várias divulgações</t>
  </si>
  <si>
    <t>ℹ️ Če je potrebno, lahko gumbi za razširitev na levi strani povečajo število vrstic in isto opombo povežejo z več razkritji</t>
  </si>
  <si>
    <t>ℹ️ Si es necesario, los botones de expansión de la izquierda pueden usarse para aumentar el número de filas y asociar la misma nota al pie a varias divulgaciones</t>
  </si>
  <si>
    <t>template_vsme_digital_template_sample</t>
  </si>
  <si>
    <t>VSME Digital Template Sample</t>
  </si>
  <si>
    <t>VSME Digital Skabelon Eksempel</t>
  </si>
  <si>
    <t>VSME Digitale Sjabloonvoorbeeld</t>
  </si>
  <si>
    <t>Exemple de modèle numérique VSME</t>
  </si>
  <si>
    <t>Beispiel für eine VSME-Digitalvorlage</t>
  </si>
  <si>
    <t>Sampla Teimpléad Digiteach VSME</t>
  </si>
  <si>
    <t>Esempio di Modello Digitale VSME</t>
  </si>
  <si>
    <t>VSME skaitmeninio šablono pavyzdys</t>
  </si>
  <si>
    <t>Przykładowy szablon cyfrowy VSME</t>
  </si>
  <si>
    <t>Exemplo de Modelo Digital VSME</t>
  </si>
  <si>
    <t>Vzorec digitalne predloge VSME</t>
  </si>
  <si>
    <t>Ejemplo de plantilla digital VSME</t>
  </si>
  <si>
    <t>template_disclaimer_cover_page</t>
  </si>
  <si>
    <t>Disclaimer: This Excel template is intended for demonstration purposes only. All entities, names, data, and related information contained herein are entirely fictitious. Any resemblance to actual companies or individuals is purely coincidental. This sample should not be interpreted as reflecting real-world data or business. practices.</t>
  </si>
  <si>
    <t>Ansvarsfraskrivelse: Denne Excel-skabelon er kun beregnet til demonstrationsformål. Alle enheder, navne, data og relaterede oplysninger heri er fuldstændig fiktive. Enhver lighed med faktiske virksomheder eller enkeltpersoner er rent tilfældig. Dette eksempel bør ikke tolkes som et udtryk for virkelige data eller forretning. øvelser.</t>
  </si>
  <si>
    <t>Disclaimer: Deze Excel-sjabloon is uitsluitend bedoeld voor demonstratiedoeleinden. Alle entiteiten, namen, gegevens en gerelateerde informatie die hierin zijn opgenomen, zijn volledig fictief. Elke gelijkenis met echte bedrijven of individuen is puur toevallig. Deze steekproef moet niet worden geïnterpreteerd als een weergave van praktijkgegevens of bedrijfsgegevens. oefeningen.</t>
  </si>
  <si>
    <t>Avertissement : Ce modèle Excel est destiné uniquement à des fins de démonstration. Toutes les entités, noms, données et informations associées contenues ici sont entièrement fictifs. Toute ressemblance avec de véritables entreprises ou individus est purement fortuite. Cet échantillon ne doit pas être interprété comme reflétant des données ou des entreprises réelles. Des entraînements.</t>
  </si>
  <si>
    <t>Haftungsausschluss: Diese Excel-Vorlage dient ausschließlich Demonstrationszwecken. Alle hier enthaltenen Entitäten, Namen, Daten und verwandten Informationen sind vollständig fiktiv. Jede Ähnlichkeit mit tatsächlichen Unternehmen oder Einzelpersonen ist rein zufällig. Diese Stichprobe sollte nicht so interpretiert werden, dass sie reale Daten oder Geschäfte widerspiegelt. Praktiken.</t>
  </si>
  <si>
    <t>Séanadh: Tá an teimpléad Excel seo beartaithe chun críocha taispeána amháin. Tá gach eintiteas, ainmneacha, sonraí agus faisnéis ghaolmhar atá anseo go hiomlán bréagach. Aon chosúlacht le cuideachtaí nó daoine aonair iarbhír is comhtharlú amháin. Níor chóir an sampla seo a léirmhíniú mar léiriú ar shonraí nó gnó fíor-domhain. cleachtais.</t>
  </si>
  <si>
    <t>Disclaimer: Questo modello Excel è destinato esclusivamente a scopi dimostrativi. Tutte le entità, nomi, dati e informazioni correlate qui contenute sono completamente fittizie. Qualsiasi somiglianza con aziende o individui reali è puramente casuale. Questo campione non deve essere interpretato come riflesso di dati reali o di attività commerciali. Pratiche.</t>
  </si>
  <si>
    <t>Atsakomybės apribojimas: Šis "Excel" šablonas skirtas tik demonstraciniams tikslams. Visi čia esantys subjektai, pavadinimai, duomenys ir susijusi informacija yra visiškai fiktyvūs. Bet koks panašumas į tikras įmones ar asmenis yra grynai atsitiktinumas. Ši imtis neturėtų būti interpretuojama kaip atspindinti realius duomenis ar verslą. praktiką.</t>
  </si>
  <si>
    <t>Zastrzeżenie: Ten szablon Excela służy wyłącznie do celów demonstracyjnych. Wszystkie podmioty, nazwy, dane i powiązane informacje zawarte tutaj są całkowicie fikcyjne. Wszelkie podobieństwa do rzeczywistych firm lub osób są czysto przypadkowe. Ta próbka nie powinna być interpretowana jako odzwierciedlenie rzeczywistych danych czy biznesu. praktyki.</t>
  </si>
  <si>
    <t>Aviso: Este modelo em Excel é destinado apenas a fins demonstrativos. Todas as entidades, nomes, dados e informações relacionadas contidas aqui são totalmente fictícias. Qualquer semelhança com empresas ou indivíduos reais é pura coincidência. Esta amostra não deve ser interpretada como refletindo dados ou negócios do mundo real. Práticas.</t>
  </si>
  <si>
    <t>Izjava o omejitvi odgovornosti: Ta predloga programa Excel je namenjena samo predstavitvenim namenom. Vse entitete, imena, podatki in sorodne informacije, ki jih vsebuje ta predloga, so v celoti izmišljene. Vsaka podobnost z dejanskimi podjetji ali posamezniki je zgolj naključna. Tega vzorca ne smete razlagati kot odraz podatkov ali poslovnih praks iz resničnega sveta.</t>
  </si>
  <si>
    <t>Aviso legal: Esta plantilla de Excel está destinada únicamente a fines demostrativos. Todas las entidades, nombres, datos e información relacionada contenida aquí son completamente ficticios. Cualquier parecido con empresas o individuos reales es pura coincidencia. Esta muestra no debe interpretarse como un reflejo de datos o negocios del mundo real. Prácticas.</t>
  </si>
  <si>
    <t>template_label_mass</t>
  </si>
  <si>
    <t>Masse</t>
  </si>
  <si>
    <t>Massa</t>
  </si>
  <si>
    <t>Maise</t>
  </si>
  <si>
    <t>Masė</t>
  </si>
  <si>
    <t>Masowa</t>
  </si>
  <si>
    <t>Masa</t>
  </si>
  <si>
    <t>template_label_volume</t>
  </si>
  <si>
    <t xml:space="preserve">Volume </t>
  </si>
  <si>
    <t>Volumen</t>
  </si>
  <si>
    <t>Toirt</t>
  </si>
  <si>
    <t>Tūris</t>
  </si>
  <si>
    <t xml:space="preserve">Objętość </t>
  </si>
  <si>
    <t>Prostornina</t>
  </si>
  <si>
    <t>template_label_none</t>
  </si>
  <si>
    <t>Ingen</t>
  </si>
  <si>
    <t>Geen enkele</t>
  </si>
  <si>
    <t>Aucun</t>
  </si>
  <si>
    <t>Keine</t>
  </si>
  <si>
    <t>Níl aon cheann</t>
  </si>
  <si>
    <t>Nessuna</t>
  </si>
  <si>
    <t>Nėra</t>
  </si>
  <si>
    <t>Brak</t>
  </si>
  <si>
    <t>Nenhum</t>
  </si>
  <si>
    <t>Nobenega</t>
  </si>
  <si>
    <t>Ninguno</t>
  </si>
  <si>
    <t>template_label_footnote_instructions</t>
  </si>
  <si>
    <t>If you need to add footnotes for the converted VSME Digital Template, please select the disclosures in column E and write the related footnote in column C.</t>
  </si>
  <si>
    <t>Hvis du skal tilføje fodnoter til den konverterede VSME Digital Template, vælg venligst oplysningerne i kolonne E og skriv den relaterede fodnote i kolonne C.</t>
  </si>
  <si>
    <t>Als u voetnoten moet toevoegen voor de geconverteerde VSME Digital Template, selecteer dan de openbaarmakingen in kolom E en schrijf de gerelateerde voetnoot in kolom C.</t>
  </si>
  <si>
    <t>Si vous devez ajouter des notes de bas de page pour le modèle numérique VSME converti, veuillez sélectionner les divulgations dans la colonne E et écrire la note de bas de page correspondante dans la colonne C.</t>
  </si>
  <si>
    <t>Wenn Sie Fußnoten für die konvertierte VSME-Digitalvorlage hinzufügen müssen, wählen Sie bitte die Offenlegungen in Spalte E aus und schreiben Sie die zugehörige Fußnote in Spalte C.</t>
  </si>
  <si>
    <t>Más gá duit fonótaí a chur leis don Teimpléad Digiteach VSME tiontaithe, roghnaigh na nochtadh i gcolún E agus scríobh an fonóta gaolmhar i gcolún C.</t>
  </si>
  <si>
    <t>Se avete bisogno di aggiungere note a piè di pagina per il modello digitale VSME convertito, selezionate le dichiarazioni nella colonna E e scrivete la nota correlata nella colonna C.</t>
  </si>
  <si>
    <t>Jei jums reikia pridėti konvertuoto VSME skaitmeninio šablono išnašas, pasirinkite atskleidimus E stulpelyje ir parašykite atitinkamą išnašą C stulpelyje.</t>
  </si>
  <si>
    <t>Jeśli chcesz dodać przypisy do przekonwertowanego szablonu VSME Digital Template, zaznacz ujawnienia w kolumnie E i zapisz powiązaną przypis w kolumnie C.</t>
  </si>
  <si>
    <t>Se precisar adicionar notas de rodapé para o Modelo Digital VSME convertido, selecione as divulgações na coluna E e escreva a nota de rodapé correspondente na coluna C.</t>
  </si>
  <si>
    <t>Če potrebujete dodati opombe pod črto za pretvorjeno VSME digitalno predlogo, prosimo, izberite razkritja v stolpcu E in ustrezno opombo zapišite v stolpec C.</t>
  </si>
  <si>
    <t>Si necesita añadir notas al pie para la Plantilla Digital VSME convertida, por favor seleccione las divulgaciones en la columna E y escriba la nota al pie correspondiente en la columna C.</t>
  </si>
  <si>
    <t>template_label_footnote_id</t>
  </si>
  <si>
    <t>Footnote ID</t>
  </si>
  <si>
    <t>Fodnote-ID</t>
  </si>
  <si>
    <t>Voetnoot-ID</t>
  </si>
  <si>
    <t>ID de la note de bas de page</t>
  </si>
  <si>
    <t>Fußnoten-ID</t>
  </si>
  <si>
    <t>Aitheantas Fonóta</t>
  </si>
  <si>
    <t>ID nota a piè di pagina</t>
  </si>
  <si>
    <t>Išnašos ID</t>
  </si>
  <si>
    <t>Identyfikator przypisu</t>
  </si>
  <si>
    <t>ID de Nota de rodapé</t>
  </si>
  <si>
    <t>ID opombe</t>
  </si>
  <si>
    <t>ID de nota al pie</t>
  </si>
  <si>
    <t>template_label_disclosure_selection</t>
  </si>
  <si>
    <t>Cell to which footnote is associated</t>
  </si>
  <si>
    <t>Celle, som fodnote er tilknyttet</t>
  </si>
  <si>
    <t>Celluliteit waaraan voetnoot is gekoppeld</t>
  </si>
  <si>
    <t>Cellule à laquelle la note de bas de page est associée</t>
  </si>
  <si>
    <t>Zelle, der Fußnote zugeordnet ist</t>
  </si>
  <si>
    <t>Cill a bhfuil baint ag fonóta léi</t>
  </si>
  <si>
    <t>Cella a cui è associata la nota a piè di pagina</t>
  </si>
  <si>
    <t>Langelis, su kuriuo susieta išnaša</t>
  </si>
  <si>
    <t>Komórka, do której przypis przypisany jest</t>
  </si>
  <si>
    <t>Célula à qual a nota de rodapé está associada</t>
  </si>
  <si>
    <t>Celica, s katero je povezana opomba pod črto</t>
  </si>
  <si>
    <t>Celda a la que se asocia la nota al pie</t>
  </si>
  <si>
    <t>template_label_footnote_text</t>
  </si>
  <si>
    <t>Footnote text</t>
  </si>
  <si>
    <t>Fodnotetekst</t>
  </si>
  <si>
    <t>Tekst in de voetnoot</t>
  </si>
  <si>
    <t>Texte de la note de bas de page</t>
  </si>
  <si>
    <t>Fußnotetext</t>
  </si>
  <si>
    <t>Téacs fonóta</t>
  </si>
  <si>
    <t>Testo della nota</t>
  </si>
  <si>
    <t>Išnašos tekstas</t>
  </si>
  <si>
    <t>Tekst przypisu</t>
  </si>
  <si>
    <t>Texto da nota de rodapé</t>
  </si>
  <si>
    <t>Besedilo opombe</t>
  </si>
  <si>
    <t>Texto de la nota al pie</t>
  </si>
  <si>
    <t>template_footnote_technical_name</t>
  </si>
  <si>
    <t>Dimension (technical name)</t>
  </si>
  <si>
    <t>Dimension (teknisk navn)</t>
  </si>
  <si>
    <t>Dimensie (technische naam)</t>
  </si>
  <si>
    <t>Dimension (nom technique)</t>
  </si>
  <si>
    <t>Dimension (technischer Name)</t>
  </si>
  <si>
    <t>Toise (ainm teicniúil)</t>
  </si>
  <si>
    <t>Dimensione (nome tecnico)</t>
  </si>
  <si>
    <t>Matmenys (techninis pavadinimas)</t>
  </si>
  <si>
    <t>Wymiar (nazwa techniczna)</t>
  </si>
  <si>
    <t>Dimensão (nome técnico)</t>
  </si>
  <si>
    <t>Dimenzija (tehnično ime)</t>
  </si>
  <si>
    <t>Dimensión (nombre técnico)</t>
  </si>
  <si>
    <t>template_footnote_expansion_button</t>
  </si>
  <si>
    <t>Click on the expansion button on the left if you need to include more footnotes</t>
  </si>
  <si>
    <t>Klik på udvidelsesknappen til venstre, hvis du skal inkludere flere fodnoter</t>
  </si>
  <si>
    <t>Klik op de uitbreidingsknop links als je meer voetnoten wilt toevoegen</t>
  </si>
  <si>
    <t>Cliquez sur le bouton d’extension à gauche si vous souhaitez ajouter plus de notes de bas de page</t>
  </si>
  <si>
    <t>Klicken Sie auf den Erweiterungsbutton links, wenn Sie weitere Fußnoten hinzufügen möchten</t>
  </si>
  <si>
    <t>Cliceáil ar an gcnaipe leathnaithe ar chlé más gá duit níos mó fonótaí a chur san áireamh</t>
  </si>
  <si>
    <t>Clicca sul pulsante espansione a sinistra se hai bisogno di aggiungere altre note a piè di pagina</t>
  </si>
  <si>
    <t>Spustelėkite išplėtimo mygtuką kairėje, jei reikia įtraukti daugiau išnašų</t>
  </si>
  <si>
    <t>Kliknij przycisk rozszerzenia po lewej, jeśli chcesz dodać więcej przypisów</t>
  </si>
  <si>
    <t>Clique no botão de expansão à esquerda se precisar incluir mais notas de rodapé</t>
  </si>
  <si>
    <t>Kliknite na gumb za razširitev na levi, če potrebujete dodati več opomb</t>
  </si>
  <si>
    <t>Haz clic en el botón de expansión a la izquierda si necesitas incluir más notas al pie</t>
  </si>
  <si>
    <t>MIT License</t>
  </si>
  <si>
    <t>Copyright (c) 2025 EFRAG</t>
  </si>
  <si>
    <t>Permission is hereby granted, free of charge, to any person obtaining a copy</t>
  </si>
  <si>
    <t>of this software and associated documentation files (the "Software"), to deal</t>
  </si>
  <si>
    <t>in the Software without restriction, including without limitation the rights</t>
  </si>
  <si>
    <t>to use, copy, modify, merge, publish, distribute, sublicense, and/or sell</t>
  </si>
  <si>
    <t>copies of the Software, and to permit persons to whom the Software is</t>
  </si>
  <si>
    <t>furnished to do so, subject to the following conditions:</t>
  </si>
  <si>
    <t>The above copyright notice and this permission notice shall be included in all</t>
  </si>
  <si>
    <t>copies or substantial portions of the Software.</t>
  </si>
  <si>
    <t>THE SOFTWARE IS PROVIDED "AS IS", WITHOUT WARRANTY OF ANY KIND, EXPRESS OR</t>
  </si>
  <si>
    <t>IMPLIED, INCLUDING BUT NOT LIMITED TO THE WARRANTIES OF MERCHANTABILITY,</t>
  </si>
  <si>
    <t>FITNESS FOR A PARTICULAR PURPOSE AND NONINFRINGEMENT. IN NO EVENT SHALL THE</t>
  </si>
  <si>
    <t>AUTHORS OR COPYRIGHT HOLDERS BE LIABLE FOR ANY CLAIM, DAMAGES OR OTHER</t>
  </si>
  <si>
    <t>LIABILITY, WHETHER IN AN ACTION OF CONTRACT, TORT OR OTHERWISE, ARISING FROM,</t>
  </si>
  <si>
    <t>OUT OF OR IN CONNECTION WITH THE SOFTWARE OR THE USE OR OTHER DEALINGS IN THE</t>
  </si>
  <si>
    <t>SOFTWARE.</t>
  </si>
  <si>
    <t>Reporting period string:</t>
  </si>
  <si>
    <t>template_reporting_period_display</t>
  </si>
  <si>
    <t>Localization formula</t>
  </si>
  <si>
    <t>Longitude</t>
  </si>
  <si>
    <t>Latitude</t>
  </si>
  <si>
    <t>Longitude,Latitude ('General information!'K106:K130)</t>
  </si>
  <si>
    <t>Starting date string:</t>
  </si>
  <si>
    <t>template_starting_date_display</t>
  </si>
  <si>
    <t xml:space="preserve">Ending date string: </t>
  </si>
  <si>
    <t>template_ending_date_display</t>
  </si>
  <si>
    <t xml:space="preserve">GPS </t>
  </si>
  <si>
    <t>Numbers for xlookup related to validation for info deemed classified or sensitive</t>
  </si>
  <si>
    <t>Filling the checkboxes below will fill automatically the list of mitted disclosures in B1 (from row 123 to 172 within General Information sheet)</t>
  </si>
  <si>
    <t>ID classified or sensitive information</t>
  </si>
  <si>
    <t>Counting sensitie information disclosures</t>
  </si>
  <si>
    <t>Disclosure of any other general and or entity specific information on the reporting period</t>
  </si>
  <si>
    <t>B2 - Practices policies and future initiatives for transitioning towards a more sustainable economy</t>
  </si>
  <si>
    <t>Disclosure of any other environmental and or entity specific environmental disclosures</t>
  </si>
  <si>
    <t>Disclosure of any other social and or entity specific social disclosures</t>
  </si>
  <si>
    <t>Disclosure of any other governance and or entity specific governance disclosures</t>
  </si>
  <si>
    <t>List of Taxonomy Labels for Footnotes</t>
  </si>
  <si>
    <t>Danish - Reviewed translation by Danish Standard Setter [da]</t>
  </si>
  <si>
    <t>Dutch - Reviewed translation by Ducth Standard Setter [nl]</t>
  </si>
  <si>
    <t>French - Reviewed translation by French Standard Setter [fr]</t>
  </si>
  <si>
    <t>German - Reviewed translation by German Standard Setter [de]</t>
  </si>
  <si>
    <t>Irish - Reviewed translation by Irish Standard Setter [ga]</t>
  </si>
  <si>
    <t>Italian - Reviewed translation by Italian Standard Setter [it]</t>
  </si>
  <si>
    <t>Lithuanian - Reviewed translation by Lithuanian Standard Setter [lt]</t>
  </si>
  <si>
    <t>Polish - Reviewed translation by Polish Standard Setter [pl]</t>
  </si>
  <si>
    <t>Portuguese - Reviewed translation by Portuguese Standard Setter [pt]</t>
  </si>
  <si>
    <t>Slovenian - Reviewed translation by Slovenian Standard Setter [sl]</t>
  </si>
  <si>
    <t>Spanish - Reviewed translation by Spanish Standard Setter [es]</t>
  </si>
  <si>
    <t>Grundlag for udarbejdelse (Kun Basismodul eller Basis &amp; Udvidet Modul)</t>
  </si>
  <si>
    <t>Grondslag voor het opstellen van informatie (alleen basismodule of basismodule &amp; uitgebreide module)</t>
  </si>
  <si>
    <t>Base de préparation (Module de base uniquement ou Module de base et module complet)</t>
  </si>
  <si>
    <t>Grundlagen für die Erstellung (nur Basismodul oder Basismodul &amp; Zusatzmodul)</t>
  </si>
  <si>
    <t>An Bunús leis an ullmhú (Bunmhodúl Bunúsach Amháin nó Bunmhodúl Bunúsach agus Cuimsitheach)</t>
  </si>
  <si>
    <t>Criteri per la redazione (solo modulo base o modulo base e modulo onnicomprensivo)</t>
  </si>
  <si>
    <t>Pagrindas parengimui (tik bazinis modulis arba bazinis ir išsamusis modulis)</t>
  </si>
  <si>
    <t>Podstawa sporządzenia (Tylko Moduł podstawowy lub Moduł podstawowy i kompleksowy)</t>
  </si>
  <si>
    <t>Base para la elaboración (Solo Módulo Básico o Módulo Básico y Exhaustivo)</t>
  </si>
  <si>
    <t>Podlaga za pripravo (le osnovni modul ali osnovni in celovit modul)</t>
  </si>
  <si>
    <t>Base para a elaboração (Apenas Módulo Básico ou Módulo Básico e Abrangente)</t>
  </si>
  <si>
    <t>Grundlag for rapportering (konsolideret eller individuel basis)</t>
  </si>
  <si>
    <t>Grondslag voor rapportering (op geconsolideerde of  enkelvoudige basis)</t>
  </si>
  <si>
    <t>Bunús don tuairisciú (bonn comhtháite nó aonair)</t>
  </si>
  <si>
    <t>Base per la redazione (su base consolidata o individuale)</t>
  </si>
  <si>
    <t>Podstawa sporządzenia (w ujęciu skonsolidowanym lub jednostkowym)</t>
  </si>
  <si>
    <t>Podlaga za poročanje (konsolidirana ali posamična osnova)</t>
  </si>
  <si>
    <t>Base para reporte (base consolidada o individual)</t>
  </si>
  <si>
    <t>Report contains disclosures from the previous reporting period that remain unchanged</t>
  </si>
  <si>
    <t>Rapporten indeholder oplysninger fra den foregående rapporteringsperiode, som forbliver uændrede.</t>
  </si>
  <si>
    <t>Rapport bevat  rapportages uit de vorige rapportageperiode die ongewijzigd blijven.</t>
  </si>
  <si>
    <t>Dieser Bericht enthält Angaben, die sich gegenüber dem vorherigen Berichtszeitraum nicht verändert haben.</t>
  </si>
  <si>
    <t>Tá nochtaí ón tréimhse tuairiscithe roimhe sin sa tuarascáil atá fós gan athrú</t>
  </si>
  <si>
    <t>La Relazione contiene le informative del periodo di riferimento precedente che rimangono invariate</t>
  </si>
  <si>
    <t>Atskleidimų, dėl kurių nepateikta pakeitimų, palyginti su ankstesnio laikotarpio ataskaita, sąrašas</t>
  </si>
  <si>
    <t>Sprawozdanie zawiera ujawnienia z poprzedniego okresu sprawozdawczego, które pozostają bez zmian.</t>
  </si>
  <si>
    <t>El informe contiene divulgaciones del período de información anterior que permanecen sin cambios.</t>
  </si>
  <si>
    <t>Poročilo vsebuje razkritja iz prejšnjega poročevalskega obdobja, ki ostajajo nespremenjena</t>
  </si>
  <si>
    <t>O relatório contém divulgações do período de reporte anterior que permanecem inalteradas</t>
  </si>
  <si>
    <t xml:space="preserve">List of disclosures for which no changes are reported compared to the previous period reporting </t>
  </si>
  <si>
    <t>Liste over oplysninger, hvor der ikke rapporteres ændringer i forhold til den foregående periode.</t>
  </si>
  <si>
    <t xml:space="preserve">Lijst van  rapportages waarvoor geen wijzigingen worden gerapporteerd ten opzichte van de verslaglegging over de vorige periode
</t>
  </si>
  <si>
    <t>Liste des informations pour lesquelles aucun changement n’est signalé par rapport à la déclaration de la période précédente</t>
  </si>
  <si>
    <t>Liosta de na nochtaí nár tuairiscíodh aon athruithe orthu i gcomparáid leis an tréimhse thuairiscithe roimhe seo</t>
  </si>
  <si>
    <t xml:space="preserve">Elenco delle informative per le quali non sono segnalate modifiche rispetto al periodo di riferimento precedente 
</t>
  </si>
  <si>
    <t>Atskleidimų, kuriems nepasikeitė duomenys palyginti su ankstesnio laikotarpio ataskaita, sąrašas</t>
  </si>
  <si>
    <t>Listado de divulgaciones para las cuales no se reportan cambios en comparación con el periodo anterior de reporte</t>
  </si>
  <si>
    <t>Seznam razkritij, za katera se v primerjavi s poročanjem v prejšnjem obdobju ne poroča o spremembah</t>
  </si>
  <si>
    <t>Lista de informações divulgadas para as quais não são relatadas alterações em comparação com o relatório do período anterior</t>
  </si>
  <si>
    <t>Link til tidligere rapport, der indeholder oplysninger, som forbliver uændrede</t>
  </si>
  <si>
    <t xml:space="preserve">Verwijzing naar het vorige  rapport met daarin de  rapportages die ongewijzigd blijven
</t>
  </si>
  <si>
    <t>Link zum vorherigen Bericht mit Angaben, die unverändert bleiben (einhietlich mit oben)</t>
  </si>
  <si>
    <t>Nasc chuig an tuarascáil roimhe seo ina bhfuil nochtaí atá fós gan athrú</t>
  </si>
  <si>
    <t>Nuoroda į ankstesnį ataskaitą, kurios atskleidimai liko nepakitę</t>
  </si>
  <si>
    <t>Povezava do prejšnjega poročila, ki vsebuje razkritja, ki ostajajo nespremenjena</t>
  </si>
  <si>
    <t>Link para o relatório anterior contendo divulgações que permanecem inalteradas</t>
  </si>
  <si>
    <t>Lijst van weggelaten  rapportages die worden beschouwd als gerubriceerde of gevoelige informatie</t>
  </si>
  <si>
    <t>Elenco delle informative omesse ritenute informazioni classificate o sensibili</t>
  </si>
  <si>
    <t>Lista ujawnień pominiętych uznanych za informacje niejawne lub informacje szczególnie chronione</t>
  </si>
  <si>
    <t>Lista de divulgaciones omitidas consideradas información clasificada o sensible</t>
  </si>
  <si>
    <t>Seznam izpuščenih razkritij, ki veljajo za tajne ali občutljive podatke</t>
  </si>
  <si>
    <t>Lista de divulgações omitidas consideradas informações classificadas ou sensíveis</t>
  </si>
  <si>
    <t>Virksomheders juridiske form</t>
  </si>
  <si>
    <t xml:space="preserve"> Rechtsvorm van de onderneming</t>
  </si>
  <si>
    <t>Forme juridique des entreprises</t>
  </si>
  <si>
    <t>Foirm dhlíthiúil an ghnóthais</t>
  </si>
  <si>
    <t>Forma jurídica de las empresas</t>
  </si>
  <si>
    <t>Pravna oblika podjetij</t>
  </si>
  <si>
    <t>Other undertaking's legal form</t>
  </si>
  <si>
    <t>Anden virksomheds juridiske form</t>
  </si>
  <si>
    <t>Rechtsvorm van de andere onderneming</t>
  </si>
  <si>
    <t>Foirm dhlíthiúil gnóthais eile</t>
  </si>
  <si>
    <t>Altra forma giuridica dell'impresa</t>
  </si>
  <si>
    <t>Kitos įmonės teisinė forma</t>
  </si>
  <si>
    <t>Inna forma prawna jednostki</t>
  </si>
  <si>
    <t>Otra personalidad jurídica de la empresa</t>
  </si>
  <si>
    <t>Pravna oblika drugega podjetja</t>
  </si>
  <si>
    <t>Forma jurídica de outra entidade</t>
  </si>
  <si>
    <t>NACE sector classification codes</t>
  </si>
  <si>
    <t>NACE-sektorklassifikationskoder</t>
  </si>
  <si>
    <t>NACE-sectorclassificatiecodes</t>
  </si>
  <si>
    <t>Cóid aicmiúcháin earnála NACE</t>
  </si>
  <si>
    <t>Codici di classificazione settoriale NACE</t>
  </si>
  <si>
    <t>NACE sektorių klasifikacijos kodai</t>
  </si>
  <si>
    <t>Kody klasyfikacji sektorowej NACE</t>
  </si>
  <si>
    <t>Šifre klasifikacije sektorjev NACE</t>
  </si>
  <si>
    <t>Códigos de classificação sectorial NACE</t>
  </si>
  <si>
    <t>Assets</t>
  </si>
  <si>
    <t>Aktiver</t>
  </si>
  <si>
    <t>Activa</t>
  </si>
  <si>
    <t>Actifs</t>
  </si>
  <si>
    <t>Vermögenswerte</t>
  </si>
  <si>
    <t>Sócmhainní</t>
  </si>
  <si>
    <t>Attività</t>
  </si>
  <si>
    <t>Turtas</t>
  </si>
  <si>
    <t>Aktywa</t>
  </si>
  <si>
    <t>Activos</t>
  </si>
  <si>
    <t>Sredstva</t>
  </si>
  <si>
    <t>Ativos</t>
  </si>
  <si>
    <t>Turnover</t>
  </si>
  <si>
    <t>Omsætning</t>
  </si>
  <si>
    <t>Omzet</t>
  </si>
  <si>
    <t>Chiffre d'affaires</t>
  </si>
  <si>
    <t>Umsatzerlöse</t>
  </si>
  <si>
    <t>Lámhdeachas</t>
  </si>
  <si>
    <t>Apyvarta</t>
  </si>
  <si>
    <t>Obrót</t>
  </si>
  <si>
    <t>Volumen de negocio</t>
  </si>
  <si>
    <t>Prihodek</t>
  </si>
  <si>
    <t>Volume de negócios</t>
  </si>
  <si>
    <t>Beschäftigtenzahl</t>
  </si>
  <si>
    <t>Número de empleados</t>
  </si>
  <si>
    <t>Employee counting methodology</t>
  </si>
  <si>
    <t>Metode til optælling af ansatte</t>
  </si>
  <si>
    <t>Gehanteerde methode voor het berekenen aantal personeelsleden</t>
  </si>
  <si>
    <t>Méthodologie de comptage des effectifs</t>
  </si>
  <si>
    <t>Art der Zählung von Beschäftigten</t>
  </si>
  <si>
    <t>Modheolaíocht chomhaireamh fostaithe</t>
  </si>
  <si>
    <t>Metodologia di conteggio dei dipendenti</t>
  </si>
  <si>
    <t>Darbuotojų skaičiavimo metodika</t>
  </si>
  <si>
    <t>Metodyka liczenia pracowników</t>
  </si>
  <si>
    <t>Metodología de recuento de empleados</t>
  </si>
  <si>
    <t>Metodologija štetja zaposlenih</t>
  </si>
  <si>
    <t>Metodologia de contagem de empregados</t>
  </si>
  <si>
    <t>Type of number of employees</t>
  </si>
  <si>
    <t>Type of number of employees = Type af ansættelseskontrakt</t>
  </si>
  <si>
    <t>Soort aantal werknemers</t>
  </si>
  <si>
    <t>Type de nombre de salariés</t>
  </si>
  <si>
    <t xml:space="preserve">Art der Anzahl der Beschäftigten </t>
  </si>
  <si>
    <t>Cineál líon na bhfostaithe</t>
  </si>
  <si>
    <t>Tipo di numero di dipendenti</t>
  </si>
  <si>
    <t>Darbuotojų skaičiaus rūšis</t>
  </si>
  <si>
    <t>Rodzaj liczby pracowników</t>
  </si>
  <si>
    <t>Tipo de número de empleados</t>
  </si>
  <si>
    <t>Vrsta števila zaposlenih</t>
  </si>
  <si>
    <t>Tipo de número de empregados</t>
  </si>
  <si>
    <t>Country of primary operations and location of significant assets</t>
  </si>
  <si>
    <t>Land van hoofdactiviteiten en locatie van belangrijke activa</t>
  </si>
  <si>
    <t>Pays où sont exercées les activités principales et localisation des actifs présentant un intérêt significatif</t>
  </si>
  <si>
    <t>Tír na príomhghníomhaíochtaí agus suíomh na bhfóntais shuntasacha</t>
  </si>
  <si>
    <t>Pagrindinių veiklų šalis ir reikšmingo turto buvimo vieta</t>
  </si>
  <si>
    <t>País de operaciones principales y ubicación de activos significativos</t>
  </si>
  <si>
    <t>Država glavnega poslovanja in lokacija pomembnih sredstev</t>
  </si>
  <si>
    <t>País das operações principais e localização dos ativos significativos</t>
  </si>
  <si>
    <t>Description of sustainability-related certification(s) or label(s)</t>
  </si>
  <si>
    <t>Beskrivelse af bæredygtighedsrelaterede certificeringer eller mærkninger</t>
  </si>
  <si>
    <t>Beschrijving van duurzaamheidsgerelateerde certificering(en) of label(s)</t>
  </si>
  <si>
    <t>Description brève de la ou des certification(s) ou label(s) liés à la durabilité</t>
  </si>
  <si>
    <t xml:space="preserve">Beschreibung der nachhaltigkeitsbezogenen Zertifizierung(en) oder des/der Siegel(s) </t>
  </si>
  <si>
    <t>Cur síos ar dheimhnithe nó lipéid a bhaineann le hinbhuanaitheacht</t>
  </si>
  <si>
    <t>Descrizione della/e certificazione/i o marchio/i di sostenibilità</t>
  </si>
  <si>
    <t>Tvarumo sertifikato(-ų) arba ženklo(-ų) aprašymas</t>
  </si>
  <si>
    <t>Opis certyfikatów lub oznaczeń związanych ze zrównoważonym rozwojem</t>
  </si>
  <si>
    <t>Descripción de la(s) certificación(es) o etiqueta(s) relacionada(s) con la sostenibilidad</t>
  </si>
  <si>
    <t>To razkritje bi moralo po potrebi vključevati izdajatelje certifikata ali znaka, datum in oceno</t>
  </si>
  <si>
    <t>Descrição da(s) certificação(ões) ou rótulo(s) relacionados com a sustentabilidade</t>
  </si>
  <si>
    <t>Name of the subsidiary</t>
  </si>
  <si>
    <t>Navn på datterselskab</t>
  </si>
  <si>
    <t>Naam van de dochteronderneming</t>
  </si>
  <si>
    <t>Nom de la filiale</t>
  </si>
  <si>
    <t>Name des Tochterunternehmens</t>
  </si>
  <si>
    <t>Ainm an fhochuideachta</t>
  </si>
  <si>
    <t>Nome della impresa figlia</t>
  </si>
  <si>
    <t>Dukterinės įmonės pavadinimas</t>
  </si>
  <si>
    <t>Nazwa jednostki zależnej</t>
  </si>
  <si>
    <t>Nombre de la filial</t>
  </si>
  <si>
    <t>Firma odvisne družbe</t>
  </si>
  <si>
    <t>Nome da subsidiária</t>
  </si>
  <si>
    <t>Registered address of the subsidiary</t>
  </si>
  <si>
    <t>Den registrerede adresse for datterselskabet</t>
  </si>
  <si>
    <t>Geregistreerd adres van de dochteronderneming</t>
  </si>
  <si>
    <t>Adresse enregistrée de la filiale</t>
  </si>
  <si>
    <t>Eingetragene Adresse des Tochterunternehmens</t>
  </si>
  <si>
    <t>Seoladh cláraithe na fochuideachta</t>
  </si>
  <si>
    <t>Sede legale della impresa figlia</t>
  </si>
  <si>
    <t>Dukterinės įmonės registruotos buveinės adresas</t>
  </si>
  <si>
    <t>Zarejestrowany adres jednostki zależnej</t>
  </si>
  <si>
    <t>Dirección registrada de la filial</t>
  </si>
  <si>
    <t>Registrirani sedež odvisne družbe</t>
  </si>
  <si>
    <t>Morada registada da subsidiária</t>
  </si>
  <si>
    <t>Address of site</t>
  </si>
  <si>
    <t xml:space="preserve">Adresse på lokation </t>
  </si>
  <si>
    <t>Adres van vestiging</t>
  </si>
  <si>
    <t>Adresse du site</t>
  </si>
  <si>
    <t>Adresse des Standorts</t>
  </si>
  <si>
    <t>Seoladh an láithreáin</t>
  </si>
  <si>
    <t>Indirizzo del sito</t>
  </si>
  <si>
    <t>Objekto adresas</t>
  </si>
  <si>
    <t>Adres lokalizacji</t>
  </si>
  <si>
    <t>Dirección del emplazamiento</t>
  </si>
  <si>
    <t>Ime, ulica, hišna številka, številka stavbe</t>
  </si>
  <si>
    <t>Endereço do local</t>
  </si>
  <si>
    <t>Postal code of site</t>
  </si>
  <si>
    <t>Postnummerr for lokation</t>
  </si>
  <si>
    <t>Postcode van vestiging</t>
  </si>
  <si>
    <t>Code postal du site</t>
  </si>
  <si>
    <t>Postleitzahl des Standorts</t>
  </si>
  <si>
    <t xml:space="preserve">Cód poist nó éirchód na láithreáin </t>
  </si>
  <si>
    <t>Codice postale del sito</t>
  </si>
  <si>
    <t>Objekto pašto kodas</t>
  </si>
  <si>
    <t>Kod pocztowy lokalizacji</t>
  </si>
  <si>
    <t>Código postal del emplazamiento</t>
  </si>
  <si>
    <t>Poštna številka lokacije</t>
  </si>
  <si>
    <t>Código postal do local</t>
  </si>
  <si>
    <t>City of site</t>
  </si>
  <si>
    <t>By for lokation</t>
  </si>
  <si>
    <t>"Plaats van vestiging"</t>
  </si>
  <si>
    <t>Ville du site</t>
  </si>
  <si>
    <t>Stadt des Standorts</t>
  </si>
  <si>
    <t>Cathair an tsuímh</t>
  </si>
  <si>
    <t>Città del sito</t>
  </si>
  <si>
    <t>Objekto miestas</t>
  </si>
  <si>
    <t>Miasto lokalizacji</t>
  </si>
  <si>
    <t>Ciudad del emplazamiento</t>
  </si>
  <si>
    <t>Kraj lokacije</t>
  </si>
  <si>
    <t>Cidade do local</t>
  </si>
  <si>
    <t>Country of site</t>
  </si>
  <si>
    <t>Land for lokation</t>
  </si>
  <si>
    <t>Land van de  vestiging</t>
  </si>
  <si>
    <t>Pays du site</t>
  </si>
  <si>
    <t>Land des Standorts</t>
  </si>
  <si>
    <t>Tír an tsuímh</t>
  </si>
  <si>
    <t>Paese del sito</t>
  </si>
  <si>
    <t>Objekto šalis</t>
  </si>
  <si>
    <t>Kraj lokalizacji</t>
  </si>
  <si>
    <t>País del emplazamiento</t>
  </si>
  <si>
    <t>Država lokacije</t>
  </si>
  <si>
    <t>País do local</t>
  </si>
  <si>
    <t>GPS Location of site</t>
  </si>
  <si>
    <t>Geolokation af lokation</t>
  </si>
  <si>
    <t>GPS-locatie van de vestiging</t>
  </si>
  <si>
    <t>Localisation GPS du site</t>
  </si>
  <si>
    <t>GPS-Koordinaten des Standorts</t>
  </si>
  <si>
    <t>Suíomh GPS an láithreáin</t>
  </si>
  <si>
    <t>Coordinate (geolocalizzazione) del sito</t>
  </si>
  <si>
    <t>Objekto koordinatės</t>
  </si>
  <si>
    <t>Współrzędne GPS lokalizacji</t>
  </si>
  <si>
    <t>Localización GPS del emplazamiento</t>
  </si>
  <si>
    <t>GPS-lokacija kraja</t>
  </si>
  <si>
    <t>Localização GPS do local</t>
  </si>
  <si>
    <t>Sustainability issues addressed by practice, policy and/or future initiative</t>
  </si>
  <si>
    <t>Praksisser, politikker og/eller fremtidige initiativer, der adresserer bæredygtighedsrelaterede udfordringer</t>
  </si>
  <si>
    <t>Duurzaamheidskwesties die worden aangepakt door praktijk, beleid en/of toekomstige initiatieven</t>
  </si>
  <si>
    <t>Enjeux de durabilité traités par la pratique, la politique et/ou l'initiative future</t>
  </si>
  <si>
    <t>Nachhaltigkeitsaspekte, die durch Verfahrensweisen, Richtlinien und/oder künftige Initiativen, die das Unternehmen eingeführt hat, adressiert werden</t>
  </si>
  <si>
    <t>Saincheisteanna inbhuanaitheachta a chlúdaítear trí chleachtas, beartas agus/nó tionscnamh amach anseo</t>
  </si>
  <si>
    <t xml:space="preserve">Questioni attinenti alla sostenibilità affrontate da pratiche, politiche e/o iniziative future
</t>
  </si>
  <si>
    <t>Tvarumo klausimai, sprendžiami praktika, politika ir (arba) būsimomis iniciatyvomis</t>
  </si>
  <si>
    <t>Kwestie związane ze zrównoważonym rozwojem uwzględniane w praktykach, politykach i/lub przyszłych inicjatywach</t>
  </si>
  <si>
    <t>Cuestiones de sostenibilidad abordadas mediante prácticas, políticas y/o iniciativas futuras</t>
  </si>
  <si>
    <t>Trajnostnostne zadeve, ki jih obravnava praksa, politika in/ali prihodnja pobuda</t>
  </si>
  <si>
    <t>Questões de sustentabilidade abordadas por prática, política e/ou iniciativa futura</t>
  </si>
  <si>
    <t>Practice, policy and/or future initiative is publicly available</t>
  </si>
  <si>
    <t>Praksis, politik og/eller fremtidigt initiativ er offentligt tilgængeligt</t>
  </si>
  <si>
    <t>Praktijk, beleid en/of toekomstig initiatief is  publiek beschikbaar</t>
  </si>
  <si>
    <t>La pratique, la politique et/ou l'initiative future sont accessibles au public</t>
  </si>
  <si>
    <t xml:space="preserve">Verfahrensweise, Richtlinie und/oder künftige Initiative ist öffentlich verfügbar </t>
  </si>
  <si>
    <t>Tá cleachtas, beartas agus/nó tionscnamh le haghaidh amach anseo ar fáil go poiblí</t>
  </si>
  <si>
    <t>La pratica, la politica e/o l'iniziativa futura sono disponibili al pubblico</t>
  </si>
  <si>
    <t>Praktika, politika ir (arba) būsimos iniciatyvos yra viešai prieinamos</t>
  </si>
  <si>
    <t>Praktyki, polityki i/lub przyszłe inicjatywy są publicznie dostępne</t>
  </si>
  <si>
    <t>La práctica, política y/o iniciativa futura está públicamente disponible</t>
  </si>
  <si>
    <t>Praksa, politika in/ali prihodnja pobuda je javno dostopna</t>
  </si>
  <si>
    <t>Prática, política e/ou iniciativa futura está publicamente disponível</t>
  </si>
  <si>
    <t xml:space="preserve">Virksomheden har fastsat mål, der er tilknyttet en politik </t>
  </si>
  <si>
    <t>De onderneming heeft een doel gesteld dat betrekking heeft op een beleid.</t>
  </si>
  <si>
    <t>L'entreprise a fixé une cible qui est liée à une politique</t>
  </si>
  <si>
    <t>Das Unternehmen hat ein Ziel festgelegt, das mit einer Richtlinie in Zusammenhang steht.</t>
  </si>
  <si>
    <t>Tá sprioc socraithe ag an ngnóthas a bhaineann le beartas</t>
  </si>
  <si>
    <t>L'impresa ha fissato un obiettivo correlato a una politica.</t>
  </si>
  <si>
    <t xml:space="preserve">Įmonė nustatė tikslą, kuris susijęs su politika.
</t>
  </si>
  <si>
    <t>Jednostka ustaliła cel, który jest powiązany z polityką</t>
  </si>
  <si>
    <t>La empresa ha establecido un objetivo que está relacionado con una política.</t>
  </si>
  <si>
    <t>Podjetje je določilo cilj, ki je povezan s politiko</t>
  </si>
  <si>
    <t>A entidade estabeleceu uma meta relacionada a uma política</t>
  </si>
  <si>
    <t>Description of the effective participation of workers, users or other interested parties or communities in governance</t>
  </si>
  <si>
    <t>Beskrivelse af den faktiske deltagelse af arbejdstagere, brugere eller andre interessenter eller lokalsamfund i ledelsen</t>
  </si>
  <si>
    <t xml:space="preserve"> Beschrijving van de effectieve  deelname van werknemers, gebruikers of andere belanghebbenden of gemeenschappen aan het bestuur</t>
  </si>
  <si>
    <t>Description de la participation effective des travailleurs, des utilisateurs ou d'autres parties ou communautés intéressées à la gouvernance</t>
  </si>
  <si>
    <t>Beschreibung der wirksamen Beteiligung von Arbeitskräften, Nutzern oder anderen interessierten Parteien oder Gemeinschaften an der Governance</t>
  </si>
  <si>
    <t xml:space="preserve"> Tuairisc ar an rannpháirtíocht éifeachtach oibrithe, úsáideoirí nó páirtithe nó pobail leasmhara eile maidir le rialachas</t>
  </si>
  <si>
    <t>Descrizione della partecipazione effettiva alla governancedei lavoratori, degli utilizzatori e altre parti o comunità interessate</t>
  </si>
  <si>
    <t>Darbuotojų, naudotojų ar kitų suinteresuotųjų šalių / bendruomenių dalyvavimo valdymo procesuose aprašymas.</t>
  </si>
  <si>
    <t>Opis efektywnego udziału pracowników, użytkowników lub innych zainteresowanych stron lub społeczności w ładzie korporacyjnym</t>
  </si>
  <si>
    <t>La participación efectiva de los trabajadores, usuarios u otras partes interesadas o comunidades en la gobernanza</t>
  </si>
  <si>
    <t>Opis učinkovitega sodelovanja delavcev, uporabnikov ali drugih zainteresiranih strani ali skupnosti pri upravljanju</t>
  </si>
  <si>
    <t>Participação efetiva dos trabalhadores, usuários ou outras partes interessadas ou comunidades na governação</t>
  </si>
  <si>
    <t>Financial investment in the capital or assets of social economy entities</t>
  </si>
  <si>
    <t>Finansiel investering i kapitalen eller aktiver i socialøkonomiske enheder</t>
  </si>
  <si>
    <t xml:space="preserve">Investeringen in het kapitaal of activa van sociale ondernemingen </t>
  </si>
  <si>
    <t>Investissements financiers dans le capital ou les actifs des entités de l’économie sociale</t>
  </si>
  <si>
    <t>Die finanzielle Investition in das Kapital oder die Vermögenswerte sozialwirtschaftlicher Einrichtungen</t>
  </si>
  <si>
    <t>Infheistíocht airgeadais i gcaipiteal nó i sócmhainní ghnóthas geilleagair shóisialta</t>
  </si>
  <si>
    <t>L'investimento finanziario nel capitale o negli attivi dei soggetti dell'economia sociale</t>
  </si>
  <si>
    <t>Inwestycje finansowe w kapitał lub aktywa podmiotów gospodarki społecznej</t>
  </si>
  <si>
    <t>Inversión financiera en el capital o los activos de las entidades de economía social</t>
  </si>
  <si>
    <t>Navedeno v priporočilu Sveta z dne 29. septembra 2023 (brez donacij in prispevkov)</t>
  </si>
  <si>
    <t>O investimento financeiro no capital ou nos ativos de entidades da economia social</t>
  </si>
  <si>
    <t>Description of limits to the distribution of profits connected to the mutualistic nature or to the nature of the activities consisting in services of general economic interest (SGEI)</t>
  </si>
  <si>
    <t>Beskrivelse af begrænsninger for fordeling af overskud, som er knyttet til den gensidige karakter eller til karakteren af de aktiviteter, der består i tjenesteydelser af almen økonomisk interesse (SGEI)</t>
  </si>
  <si>
    <t>Beschrijving van beperkingen voor de winstuitkering verbonden aan het wederzijdse karakter of aan de aard van de activiteiten bestaande uit diensten van algemeen economisch belang (DAEB)</t>
  </si>
  <si>
    <t>Description des limites à la distribution des bénéfices liées à la nature mutualiste ou à la nature des activités consistant en des services d’intérêt économique général (SIEG)</t>
  </si>
  <si>
    <t>Beschreibung von Beschränkungen der Gewinnausschüttung im Zusammenhang mit dem gegenseitigen Charakter oder der Art der Tätigkeiten, die in Dienstleistungen von allgemeinem wirtschaftlichem Interesse (DAWI)</t>
  </si>
  <si>
    <t>Cur síos ar theorainneacha maidir le dáileadh brabús a bhaineann leis an nádúr frithpháirteach nó le cineál na ngníomhaíochtaí arb é atá iontu seirbhísí leasa eacnamaíoch ghinearálta (SLEI)</t>
  </si>
  <si>
    <t>Descrizione dei limiti alla distribuzione degli utili connessi alla natura mutualistica o alla natura delle attività che consistono in servizi di interesse economico generale (SIEG)</t>
  </si>
  <si>
    <t>Pelno paskirstymo apribojimų, susijusių su viešuoju interesu arba su veikla, kuri sudaro bendrojo ekonominio intereso paslaugą (SGEI), aprašymas</t>
  </si>
  <si>
    <t>Opis wszelkich ograniczeń w podziale zysków związanych z wzajemnym charakterem lub specyfiką działalności polegającej na świadczeniu usług świadczonych w ogólnym interesie gospodarczym (UOIG)</t>
  </si>
  <si>
    <t>"Cualquier límite a la distribución de beneficios relacionado con la naturaleza mutualista o con la naturaleza de las actividades que consisten en servicios de interés económico general (SGEI)"</t>
  </si>
  <si>
    <t>Opis omejitev pri razdelitvi dobička, glede na vzajemnost ali naravo dejavnosti, ki obsegajo storitve splošnega gospodarskega pomena (SSGP)</t>
  </si>
  <si>
    <t>Eventual descrição dos limites à distribuição dos lucros relacionados com o caráter mutualista ou com a natureza das atividades que consistem em serviços de interesse económico geral (SIEG)</t>
  </si>
  <si>
    <t>Total energy consumption</t>
  </si>
  <si>
    <t>Totale energieconsumptie</t>
  </si>
  <si>
    <t>Consommation totale d'énergie</t>
  </si>
  <si>
    <t>Tomhaltas iomlán fuinnimh</t>
  </si>
  <si>
    <t>Totale consumo di energia</t>
  </si>
  <si>
    <t>Consumo total de energía</t>
  </si>
  <si>
    <t>Energy consumption from electricity</t>
  </si>
  <si>
    <t>Energiforbrug fra elektricitet</t>
  </si>
  <si>
    <t>Electriciteitsverbruik</t>
  </si>
  <si>
    <t>Consommation d'énergie provenant de l'électricité</t>
  </si>
  <si>
    <t>Energieverbrauch aus Strom</t>
  </si>
  <si>
    <t>Tomhaltas fuinnimh ó leictreachas</t>
  </si>
  <si>
    <t>Consumo di energia elettrica</t>
  </si>
  <si>
    <t>Elektros energijos suvartojimas</t>
  </si>
  <si>
    <t>Zużycie energii elektrycznej</t>
  </si>
  <si>
    <t>Consumo de energía procedente de la electricidad</t>
  </si>
  <si>
    <t>Kot je razvidno iz računov za komunalne storitve</t>
  </si>
  <si>
    <t>Consumo de energia elétrica</t>
  </si>
  <si>
    <t>Energy consumption from self-generated electricity</t>
  </si>
  <si>
    <t>Energiforbrug fra selvproduceret elektricitet</t>
  </si>
  <si>
    <t>Energieverbruik  van zelfopgewekte elektriciteit</t>
  </si>
  <si>
    <t>Consommation d'énergie provenant de l'électricité auto-produite</t>
  </si>
  <si>
    <t>Energieverbrauch aus selbst erzeugtem Strom</t>
  </si>
  <si>
    <t>Tomhaltas fuinnimh ó leictreachas féinghinte</t>
  </si>
  <si>
    <t>Consumo di energia da energia elettrica autoprodotta</t>
  </si>
  <si>
    <t>Energijos suvartojimas iš savos gamybos elektros energijos</t>
  </si>
  <si>
    <t>Zużycie energii elektrycznej z energii produkowanej samodzielnie</t>
  </si>
  <si>
    <t>Consumo de energía procedente de electricidad autogenerada</t>
  </si>
  <si>
    <t>Poraba energije iz lastne proizvedene električne energije</t>
  </si>
  <si>
    <t>Consumo de energia a partir de eletricidade auto-gerada</t>
  </si>
  <si>
    <t>Energy consumption from fuels</t>
  </si>
  <si>
    <t>Energiforbrug fra brændstoffer</t>
  </si>
  <si>
    <t>"Energieverbruik uit brandstoffen"</t>
  </si>
  <si>
    <t>Consommation d'énergie provenant des combustibles</t>
  </si>
  <si>
    <t>Energieverbrauch aus Brennstoffen</t>
  </si>
  <si>
    <t>Tomhaltas fuinnimh ó bhreoslaí</t>
  </si>
  <si>
    <t>Consumo di energia da combustibili</t>
  </si>
  <si>
    <t>Energijos suvartojimas iš degalų</t>
  </si>
  <si>
    <t>Zużycie energii z paliw</t>
  </si>
  <si>
    <t>Consumo de energía procedente de combustibles</t>
  </si>
  <si>
    <t>Poraba energije iz goriv</t>
  </si>
  <si>
    <t>Consumo de energia proveniente de combustíveis</t>
  </si>
  <si>
    <t>Gross Scope 1 greenhouse gas emissions</t>
  </si>
  <si>
    <t>Brutto Scope 1 drivhusgasudledninger</t>
  </si>
  <si>
    <t>Bruto Scope 1 broeikasgasemissies</t>
  </si>
  <si>
    <t>Émissions brutes des émissions de gaz à effet de serre du scope 1</t>
  </si>
  <si>
    <t>Astaíochtaí comhlána gás ceaptha teasa Raon Feidhme 1</t>
  </si>
  <si>
    <t>Bendros pirmos apimties šiltnamio efektą sukeliančių dujų emisijos</t>
  </si>
  <si>
    <t>Emisje brutto gazów cieplarnianych zakresu 1</t>
  </si>
  <si>
    <t>Emisiones brutas de gases de efecto invernadero (GEI) de alcance 1</t>
  </si>
  <si>
    <t>Emissões brutas de gases com efeito de estufa de Âmbito 1</t>
  </si>
  <si>
    <t>Gross location-based Scope 2 greenhouse gas emissions</t>
  </si>
  <si>
    <t>Brutto Scope 2  drivhusgasudledninger  (lokationsbaseret)</t>
  </si>
  <si>
    <t>Bruto Scope 2 locatiegebaseerde broeikasgasemissies</t>
  </si>
  <si>
    <t>Émissions brutes des émissions de gaz à effet de serre du scope 2 basées sur la localisation</t>
  </si>
  <si>
    <t>Astaíochtaí gás ceaptha teasa comhlána Raon Feidhme 2 bunaithe ar shuíomh</t>
  </si>
  <si>
    <t>Emissioni lorde di gas a effetto serra di ambito 2 (basate sulla posizione)</t>
  </si>
  <si>
    <t>Bendros vietos metodu apskaičiuotos antros apimties  šiltnamio efektą sukeliančių dujų emisijos</t>
  </si>
  <si>
    <t>Emisiones brutas de gases de efecto invernadero (GEI) de Alcance 2 basadas en la ubicación</t>
  </si>
  <si>
    <t>Bruto lokacijske emisije toplogrednih plinov obsega 2</t>
  </si>
  <si>
    <t>Emissões brutas de gases com efeito de estufa (GEE) do Escopo 2 baseadas na localização</t>
  </si>
  <si>
    <t>Gross market-based Scope 2 greenhouse gas emissions</t>
  </si>
  <si>
    <t>Brutto Scope 2 drivhusgasudledninger(markedsbaseret)</t>
  </si>
  <si>
    <t xml:space="preserve">Bruto  marktgebaseerde Scope 2 broeikasgasemissies
</t>
  </si>
  <si>
    <t>Émissions brutes des émissions de gaz à effet de serre du scope 2 basées sur le marché</t>
  </si>
  <si>
    <t xml:space="preserve">Astaíochtaí gás ceaptha teasa comhlána Raon Feidhme 2 bunaithe ar an margadh </t>
  </si>
  <si>
    <t>Emissioni lorde di gas a effetto serra di ambito 2 (basate sul mercato)</t>
  </si>
  <si>
    <t>Bendros rinkos metodu apskaičiuotos antros apimties  šiltnamio efektą sukeliančių dujų emisijos</t>
  </si>
  <si>
    <t>Emissões brutas de gases com efeito de estufa (GEE) de âmbito 2 baseadas no mercado</t>
  </si>
  <si>
    <t>Total (gross) location-based Scope 1 and Scope 2 GHG emissions</t>
  </si>
  <si>
    <t>Samlede (brutto) Scope 1- og Scope 2-drivhusgasudledninger (lokationsbaseret)</t>
  </si>
  <si>
    <t>Totale (bruto) locatiegebaseerde broeikasgasemissies van Scope 1 en Scope 2</t>
  </si>
  <si>
    <t>Émissions totales (brutes) de GES des scopes 1 et 2 basées sur la localisation</t>
  </si>
  <si>
    <t>Gesamte standortbezogene Scope 1- und Scope 2-Brutto-Treibhausgasemissionen</t>
  </si>
  <si>
    <t>Astaíochtaí iomlána (comhlánacha) gás ceaptha teasa Raon feidhme 1 agus Raon feidhme 2 atá bunaithe ar shuíomh</t>
  </si>
  <si>
    <t>Emissioni totali (lorde) di gas a effetto serra di ambito 1 e ambito 2 (basate sulla posizione)</t>
  </si>
  <si>
    <t>Bendros pirmos apimties ir antros apimties vietos metodu apskaičiuotos šiltnamio efektą sukeliančių dujų emisijos</t>
  </si>
  <si>
    <t>Całkowite (brutto) emisje gazów cieplarnianych zakresu 1 i zakresu 2 według metody opartej na lokalizacji</t>
  </si>
  <si>
    <t>Emisiones totales (brutas) de GEI de Alcance 1 y Alcance 2 basadas en la ubicación</t>
  </si>
  <si>
    <t>Skupne (bruto) lokacijske emisije TGP obsega 1 in obsega 2</t>
  </si>
  <si>
    <t>Emissões totais (brutas) de gases com efeito de estufa (GEE) do âmbito 1 e âmbito 2 baseadas na localização</t>
  </si>
  <si>
    <t>Total (gross) market-based Scope 1 and Scope 2 GHG emissions</t>
  </si>
  <si>
    <t>Samlede (brutto) Scope 1- og Scope 2-drivhusgasudledninger (markedsbaseret)</t>
  </si>
  <si>
    <t>Totale (bruto) marktgebaseerde Scope 1 en Scope 2 broeikasgasemissies</t>
  </si>
  <si>
    <t>Émissions totales (brutes) de GES des scopes 1 et 2 basées sur le marché</t>
  </si>
  <si>
    <t>Gesamte marktbasierte Scope 1- und Scope 2-Brutto-Treibhausgasemissionen</t>
  </si>
  <si>
    <t>Astaíochtaí iomlána (comhlánacha) gás ceaptha teasa Raon feidhme 1 agus Raon feidhme 2 atá bunaithe ar an margadh</t>
  </si>
  <si>
    <t>Emissioni totali (lorde) di gas a effetto serra di ambito 1 e ambito 2 (basate sul mercato)</t>
  </si>
  <si>
    <t>Bendros pirmos apimties ir antros apimties rinkos metodu apskaičiuotos šiltnamio efektą sukeliančių dujų emisijos</t>
  </si>
  <si>
    <t>Całkowite (brutto) emisje gazów cieplarnianych zakresu 1 i zakresu 2 według metody opartej na rynku</t>
  </si>
  <si>
    <t>Emisiones totales (brutas) de GEI (alcance 1 y 2 basadas en el mercado)</t>
  </si>
  <si>
    <t>Skupne (bruto) tržne emisije TGP obsega 1 in obsega 2</t>
  </si>
  <si>
    <t>Emissões brutas totais de GEE de Escopo 1 e Escopo 2 baseadas no mercado</t>
  </si>
  <si>
    <t>Gross Scope 3 greenhouse gas emissions</t>
  </si>
  <si>
    <t>Brutto Scope 3 drivhusgasudledninger</t>
  </si>
  <si>
    <t>Bruto broeikasgasemissies Scope 3</t>
  </si>
  <si>
    <t>Émissions brutes de gaz à effet de serre du scope 3</t>
  </si>
  <si>
    <t>Scope 3-Brutto-Treibhausgasemissionen</t>
  </si>
  <si>
    <t>Astaíochtaí comhlána gás ceaptha teasa Raon Feidhme 3</t>
  </si>
  <si>
    <t>Emissioni lorde di gas a effetto serra di ambito 3</t>
  </si>
  <si>
    <t>Bendros trečios apimties šiltnamio efektą sukeliančių dujų emisijos</t>
  </si>
  <si>
    <t>Emisje brutto gazów cieplarnianych zakresu 3</t>
  </si>
  <si>
    <t>Emisiones brutas de gases de efecto invernadero (GEI) de alcance 3</t>
  </si>
  <si>
    <t>Bruto emisije toplogrednih plinov obsega 3</t>
  </si>
  <si>
    <t>Emissões brutas de gases com efeito de estufa de Escopo 3</t>
  </si>
  <si>
    <t>Total (gross) location-based GHG emissions</t>
  </si>
  <si>
    <t>Samlede (brutto) drivhusgasudledninger (lokationsbaseret)</t>
  </si>
  <si>
    <t>Totale (bruto) locatiegebaseerde broeikasgasemissies</t>
  </si>
  <si>
    <t>Émissions totales (brutes) de GES basées sur la localisation</t>
  </si>
  <si>
    <t>Gesamte (Brutto) standortbezogene Treibhausgasemissionen</t>
  </si>
  <si>
    <t>Astaíochtaí comhlána GCT bunaithe ar shuíomh</t>
  </si>
  <si>
    <t>Emissioni totali (lorde) di gas a effetto serra basate sulla posizione</t>
  </si>
  <si>
    <t>Iš viso (bendros) vietos metodu apskaičiuotos ŠESD emisijos</t>
  </si>
  <si>
    <t>Całkowite (brutto) emisje gazów cieplarnianych według metody opartej na lokalizacji</t>
  </si>
  <si>
    <t>Emisiones totales brutas de gases de efecto invernadero (GEI) basadas en la ubicación</t>
  </si>
  <si>
    <t>Izračun: Emisije toplogrednih plinov obsega 1 + obsega 2 + obsega 3 (na podlagi lokacije)</t>
  </si>
  <si>
    <t>Emissões brutas totais de GEE baseadas na localização</t>
  </si>
  <si>
    <t>Total (gross) market-based GHG emissions</t>
  </si>
  <si>
    <t>Samlede (brutto) drivhusgasudledninger (markedsbaseret)</t>
  </si>
  <si>
    <t>Totale (bruto) marktgebaseerde broeikasgasemissies</t>
  </si>
  <si>
    <t>Émissions totales (brutes) de gaz à GES basées sur le marché</t>
  </si>
  <si>
    <t>Gesamte (Brutto) marktbasierte Treibhausgasemissionen</t>
  </si>
  <si>
    <t>Astaíochtaí comhlána GCT bunaithe ar an margadh</t>
  </si>
  <si>
    <t>Emissioni totali (lorde) di gas a effetto serra basate sul mercato</t>
  </si>
  <si>
    <t>Iš viso (bendros) rinkos metodu apskaičiuotos ŠESD emisijos</t>
  </si>
  <si>
    <t>Całkowite (brutto) emisje gazów cieplarnianych według metody opartej na rynku</t>
  </si>
  <si>
    <t>Emisiones totales (brutas) de gases de efecto invernadero (GEI) basadas en el mercado</t>
  </si>
  <si>
    <t>Izračun: Emisije toplogrednih plinov obsega 1 + obsega 2 + obsega 3 (tržno utemeljene)</t>
  </si>
  <si>
    <t>Emissões totais brutas de gases com efeito de estufa baseadas no mercado</t>
  </si>
  <si>
    <t>Location-based Scope 1 and Scope 2 Greenhouse Gas Emissions intensity</t>
  </si>
  <si>
    <t>Locatiegebaseerde  broeikasgasemissies-intensiteit van Scope 1 en Scope 2</t>
  </si>
  <si>
    <t>Intensité des émissions de gaz à effet de serre des scopes 1 et 2 basées sur la localisation</t>
  </si>
  <si>
    <t>Standortbezogene Scope 1- und Scope 2-Treibhausgas-Emissionsintensität</t>
  </si>
  <si>
    <t>Déine Astaíochtaí Gáis Cheaptha Teasa Raon Feidhme 1 agus Raon Feidhme 2 Bunaithe ar Shuíomh</t>
  </si>
  <si>
    <t>Intensità delle emissioni di gas a effetto serra di ambito 1 e ambito 2 basate sulla posizione</t>
  </si>
  <si>
    <t>1 ir 2 apimčių (vietos metodu) bendras ŠESD emisijų intensyvumas</t>
  </si>
  <si>
    <t>Intensywność emisji gazów cieplarnianych z zakresu 1 i zakresu 2 według metody opartej na lokalizacji</t>
  </si>
  <si>
    <t>Intensidad de emisiones de gases de efecto invernadero de Alcance 1 y Alcance 2 basadas en la ubicación</t>
  </si>
  <si>
    <t>Izračun: (emisije toplogrednih plinov obsega 1 + obsega 2 na podlagi lokacije) / promet</t>
  </si>
  <si>
    <t>Intensidade das emissões de gases com efeito de estufa de Escopo 1 e Escopo 2 baseadas na localização</t>
  </si>
  <si>
    <t>Market-based Scope 1 and Scope 2 Greenhouse Gas Emissions intensity</t>
  </si>
  <si>
    <t>Marktgebaseerde broeikasgasemissies-intensiteit van Scope 1 en Scope 2</t>
  </si>
  <si>
    <t>Intensité des émissions de gaz à effet de serre des scopes 1 et 2 basées sur le marché</t>
  </si>
  <si>
    <t>Marktbasierte Scope 1- und Scope 2-Treibhausgas-Emissionsintensität</t>
  </si>
  <si>
    <t>Déine Astaíochtaí Gáis Cheaptha Teasa Raon Feidhme 1 agus Raon Feidhme 2 Bunaithe ar an margadh</t>
  </si>
  <si>
    <t>Intensità delle emissioni di gas a effetto serra di ambito 1 e ambito 2 basate sul mercato</t>
  </si>
  <si>
    <t>1 ir 2 apimčių (rinkos metodu) bendras ŠESD emisijų intensyvumas</t>
  </si>
  <si>
    <t>Intensywność emisji gazów cieplarnianych z zakresu 1 i zakresu 2 według metody opartej na rynku</t>
  </si>
  <si>
    <t>Intensidad de las emisiones de gases de efecto invernadero de alcance 1 y alcance 2 basada en el mercado</t>
  </si>
  <si>
    <t>Izračun: (emisije toplogrednih plinov obsega 1 + obsega 2 na podlagi trga) / promet</t>
  </si>
  <si>
    <t>Intensidade das emissões de gases com efeito de estufa de Âmbito 1 e Âmbito 2 baseadas no mercado</t>
  </si>
  <si>
    <t>Total location-based Greenhouse Gas Emissions intensity</t>
  </si>
  <si>
    <t>Total drivhusgasintensitet (lokationsbaseret)</t>
  </si>
  <si>
    <t>Totale locatiegebaseerde broeikasgasemissie-intensiteit</t>
  </si>
  <si>
    <t>Intensité des émissions de gaz à effet de serre totales basées sur la localisation</t>
  </si>
  <si>
    <t>Gesamte standortbezogene Treibhausgas-Emissionsintensität</t>
  </si>
  <si>
    <t>Déine iomlán astaíochtaí gás ceaptha teasa de réir suímh</t>
  </si>
  <si>
    <t>Intensità delle emissioni totali di gas a effetto serra basate sulla posizione</t>
  </si>
  <si>
    <t>Bendras vietos metodu ŠESD emisijų intensyvumas</t>
  </si>
  <si>
    <t>Całkowita intensywność emisji gazów cieplarnianych według metody opartej na lokalizacji</t>
  </si>
  <si>
    <t>Intensidad total de emisiones de gases de efecto invernadero basadas en la ubicación</t>
  </si>
  <si>
    <t>Izračun: (emisije toplogrednih plinov območja 1 + območja 2 + območja 3 na podlagi lokacije) / promet</t>
  </si>
  <si>
    <t>Intensidade total das emissões de gases com efeito de estufa baseadas na localização</t>
  </si>
  <si>
    <t>Total market-based Greenhouse Gas Emissions intensity</t>
  </si>
  <si>
    <t>Total drivhusgasintensitet (markedsbaseret)</t>
  </si>
  <si>
    <t>Totale marktgebaseerde broeikasgasemissies-intensiteit</t>
  </si>
  <si>
    <t>Intensité des émissions de gaz à effet de serre totales basées sur le marché</t>
  </si>
  <si>
    <t>Gesamte marktbasierte Treibhausgas-Emissionsintensität</t>
  </si>
  <si>
    <t>Déine iomlán astaíochtaí gás ceaptha teasa de réir margaidh</t>
  </si>
  <si>
    <t>Intensità delle emissioni totali di gas a effetto serra basate sul mercato</t>
  </si>
  <si>
    <t>Bendras rinkos metodu ŠESD emisijų intensyvumas</t>
  </si>
  <si>
    <t>Całkowita intensywność emisji gazów cieplarnianych według metody opartej na rynku</t>
  </si>
  <si>
    <t>Intensidad total de las emisiones de gases de efecto invernadero basadas en el mercado</t>
  </si>
  <si>
    <t>Izračun: (obseg 1 + obseg 2 + obseg 3 emisije toplogrednih plinov na podlagi trga) / promet</t>
  </si>
  <si>
    <t>Intensidade total das emissões de gases com efeito de estufa baseadas no mercado</t>
  </si>
  <si>
    <t>Publicly available disclosure</t>
  </si>
  <si>
    <t>Offentligt tilgængelig oplysning</t>
  </si>
  <si>
    <t>Publiek beschikbare rapportage</t>
  </si>
  <si>
    <t>Information accessible au public</t>
  </si>
  <si>
    <t>Angabe ist öffentlich verfügbar</t>
  </si>
  <si>
    <t>Nochtadh atá ar fáil go poiblí</t>
  </si>
  <si>
    <t>Informativa disponibile al pubblico</t>
  </si>
  <si>
    <t>Viešai prieinamas atskleidimas</t>
  </si>
  <si>
    <t>Publicznie dostępne ujawnienie</t>
  </si>
  <si>
    <t>Divulgación de acceso público</t>
  </si>
  <si>
    <t>Javno dostopno razkritje</t>
  </si>
  <si>
    <t>Divulgação disponível publicamente</t>
  </si>
  <si>
    <t>URL or link to the publicly available disclosure</t>
  </si>
  <si>
    <t>URL eller link til den offentligt tilgængelige oplysning</t>
  </si>
  <si>
    <t>"URL of link naar de  publiek beschikbare rapportage"</t>
  </si>
  <si>
    <t>URL ou lien vers l'information accessible au public</t>
  </si>
  <si>
    <t>URL oder Link zur öffentlich verfügbaren Angabe</t>
  </si>
  <si>
    <t>URL nó nasc chuig an nochtadh atá ar fáil go poiblí</t>
  </si>
  <si>
    <t>URL o collegamento all'informativa disponibile al pubblico</t>
  </si>
  <si>
    <t>Viešai prieinamo atskleidimo URL arba nuoroda</t>
  </si>
  <si>
    <t>URL lub odnośnik do publicznie dostępnego ujawnienia</t>
  </si>
  <si>
    <t>Enlace URL o vínculo a la divulgación disponible públicamente</t>
  </si>
  <si>
    <t>URL ali povezava do javno dostopnega razkritja</t>
  </si>
  <si>
    <t>Ligação URL ou link para a divulgação publicamente disponível</t>
  </si>
  <si>
    <t>Amount of emission to air</t>
  </si>
  <si>
    <t>Mængde af udledning til luft</t>
  </si>
  <si>
    <t>Hoeveelheid  emissie naar de lucht</t>
  </si>
  <si>
    <t>Quantité de rejets dans l'air</t>
  </si>
  <si>
    <t>an die Luft abgegebene Emissionsmenge</t>
  </si>
  <si>
    <t>Méid na n-astaíochtaí amach san aer</t>
  </si>
  <si>
    <t>Quantità di emissioni nell'aria</t>
  </si>
  <si>
    <t>Išlakų kiekis</t>
  </si>
  <si>
    <t>Ilość emisji do powietrza</t>
  </si>
  <si>
    <t>Cantidad de emisiones al aire</t>
  </si>
  <si>
    <t>Količina emisije v zrak</t>
  </si>
  <si>
    <t>Quantidade de emissões para o ar</t>
  </si>
  <si>
    <t>Amount of emission to water</t>
  </si>
  <si>
    <t>Mængde af udledning til vand</t>
  </si>
  <si>
    <t>Hoeveelheid emissie naar water</t>
  </si>
  <si>
    <t>Quantité de rejets dans l'eau</t>
  </si>
  <si>
    <t>an das Wasser abgegebene Emissionsmenge</t>
  </si>
  <si>
    <t>Méid na n-astaíochtaí isteach san uisece</t>
  </si>
  <si>
    <t>Quantità di emissioni nell'acqua</t>
  </si>
  <si>
    <t>Išmetamųjų teršalų kiekis į vandenį</t>
  </si>
  <si>
    <t>Ilość emisji do wody</t>
  </si>
  <si>
    <t>Cantidad de emisiones al agua</t>
  </si>
  <si>
    <t>Količina emisije v vodo</t>
  </si>
  <si>
    <t>Quantidade de emissões para a água</t>
  </si>
  <si>
    <t>Amount of emission to soil</t>
  </si>
  <si>
    <t xml:space="preserve">Mængde af udledning til jord </t>
  </si>
  <si>
    <t>Hoeveelheid emissie naar de bodem</t>
  </si>
  <si>
    <t>Quantité de rejets dans les sols</t>
  </si>
  <si>
    <t>in den Boden abgegebene Emissionsmenge</t>
  </si>
  <si>
    <t>Méid na n-astaíochtaí go hithir</t>
  </si>
  <si>
    <t>Quantità di emissioni nel suolo</t>
  </si>
  <si>
    <t>Išmetamųjų teršalų kiekis į dirvožemį</t>
  </si>
  <si>
    <t>Ilość emisji do gleby</t>
  </si>
  <si>
    <t>Cantidad de emisiones al suelo</t>
  </si>
  <si>
    <t>Količina emisije v prst</t>
  </si>
  <si>
    <t>Quantidade de emissões para o solo</t>
  </si>
  <si>
    <t>Area of site in biodiversity sensitive area</t>
  </si>
  <si>
    <t xml:space="preserve">Areal af lokation i biodiversitetsfølsomt område </t>
  </si>
  <si>
    <t>Oppervlakte van de  vestiging in biodiversiteitsgevoelig gebied</t>
  </si>
  <si>
    <t>Surface du site situé dans une zone sensible pour la biodiversité</t>
  </si>
  <si>
    <t xml:space="preserve">Fläche des Standorts in einem Gebiet mit schutzbedürftiger Biodiversität </t>
  </si>
  <si>
    <t>Achar an láithreáin atá suite i limistéir atá íogair ó thaobh na bithéagsúlachta de</t>
  </si>
  <si>
    <t>Superficie del sito all'interno di un'area sensibile sotto il profilo della biodiversità</t>
  </si>
  <si>
    <t>Objekto plotas biologinei įvairovei jautrioje teritorijoje</t>
  </si>
  <si>
    <t>Obszar lokalizacji na obszarze wrażliwym pod względem bioróżnorodności</t>
  </si>
  <si>
    <t>Área del emplazamiento en zona sensible en cuanto a la biodiversidad</t>
  </si>
  <si>
    <t>Površina lokacije na območju z občutljivo biotsko raznovrstnostjo</t>
  </si>
  <si>
    <t>Área do sítio localizado em zona sensível à biodiversidade</t>
  </si>
  <si>
    <t xml:space="preserve">Lokation beliggende i  et biodiversitetsfølsomt område </t>
  </si>
  <si>
    <t>Standort in einem Gebiet mit schutzbedürftiger Biodiversität gelegen</t>
  </si>
  <si>
    <t>Láithreán atá suite i limistéar atá íogair ó thaobh na bithéagsúlachta de</t>
  </si>
  <si>
    <t>Lokalizacja na obszarze wrażliwym pod względem bioróżnorodności</t>
  </si>
  <si>
    <t>Emplazamiento ubicado en un área sensible a la biodiversidad</t>
  </si>
  <si>
    <t>Lokacija na območju z občutljivo biotsko raznovrstnostjo</t>
  </si>
  <si>
    <t>Sítio localizado em zona sensível à biodiversidade</t>
  </si>
  <si>
    <t>Lokation beliggende nær et biodiversitetsfølsomt område</t>
  </si>
  <si>
    <t>Standort in der Nähe von einem Gebiet mit schutzbedürftiger Biodiversität gelegen</t>
  </si>
  <si>
    <t>Láithreán atá suite in aice le limistéar atá íogair ó thaobh na bithéagsúlachta de</t>
  </si>
  <si>
    <t>Objektas, esantis netoli biologinei įvairovei jautrioje teritorijoje</t>
  </si>
  <si>
    <t>Emplazamiento ubicado cerca de una zona sensible en cuanto a la biodiversidad</t>
  </si>
  <si>
    <t>Lokacija v bližini območja z občutljivo biotsko raznovrstnostjo</t>
  </si>
  <si>
    <t>Sítio localizado próximo de zona sensível à biodiversidade</t>
  </si>
  <si>
    <t xml:space="preserve">Samlet befæstet areal </t>
  </si>
  <si>
    <t>Skupno zatesnjeno območje</t>
  </si>
  <si>
    <t>Total nature oriented area on-site</t>
  </si>
  <si>
    <t>Total naturorienteret område på lokationen</t>
  </si>
  <si>
    <t>Totale natuurgerichte oppervlakte op devestigingslocatie</t>
  </si>
  <si>
    <t>An t-achar iomlán atá dírithe ar an dúlra ar an láthair.</t>
  </si>
  <si>
    <t>Celotno območje, usmerjeno v naravo, na lokaciji</t>
  </si>
  <si>
    <t>Total nature oriented area off-site</t>
  </si>
  <si>
    <t>Samlet naturorienteret område uden for lokationen</t>
  </si>
  <si>
    <t>Totale natuurgerichte oppervlakte buiten de vestigingslocatie</t>
  </si>
  <si>
    <t>An t-achar iomlán atá dírithe ar an dúlra lasmuigh den láthair.</t>
  </si>
  <si>
    <t>Celotno območje, usmerjeno v naravo, zunaj lokacije</t>
  </si>
  <si>
    <t>Superfície total de zona orientada para a natureza, fora do local de atividade</t>
  </si>
  <si>
    <t>Samlet arealanvendelse</t>
  </si>
  <si>
    <t>Totaal gebruik van land</t>
  </si>
  <si>
    <t>Úsáid iomlán talún</t>
  </si>
  <si>
    <t>Utilização total do solo</t>
  </si>
  <si>
    <t>Total amount of water withdrawn from all sites</t>
  </si>
  <si>
    <t>Samlede vandudtag for alle lokationer</t>
  </si>
  <si>
    <t>Totaal opgenomen water uit alle vestigingen</t>
  </si>
  <si>
    <t>Quantité totale d'eau prélevée sur tous les sites</t>
  </si>
  <si>
    <t>Gesamtmenge der Wasserentnahme aus allen Standorten</t>
  </si>
  <si>
    <t>Aistarraingt uisce iomlán ó iomlán na láithreán</t>
  </si>
  <si>
    <t>Quantità totale di acqua prelevata da tutti i siti</t>
  </si>
  <si>
    <t xml:space="preserve">Bendras vandens kiekis, paimtas iš visų vietovių </t>
  </si>
  <si>
    <t>Całkowita ilość wody pobranej ze wszystkich lokalizacji</t>
  </si>
  <si>
    <t>Cantidad total de agua extraída de todos los emplazamientos</t>
  </si>
  <si>
    <t>Skupna količina odvzete vode z vseh lokacij</t>
  </si>
  <si>
    <t>Quantidade total de água retirada de todos os locais</t>
  </si>
  <si>
    <t>Amount of water withdrawn at sites located in areas of high water-stress</t>
  </si>
  <si>
    <t>Samlede vandudtag fra steder beliggende i områder med høj vandstress</t>
  </si>
  <si>
    <t>Hoeveelheid water onttrokken op locaties in gebieden met grote waterstress</t>
  </si>
  <si>
    <t>Quantité d’eau prélevée sur les sites qui se situent dans des zones exposées à un stress hydrique élevé</t>
  </si>
  <si>
    <t xml:space="preserve">Menge des an Standorten entnommenen Wassers in Gebieten mit hohem Wasserstress. </t>
  </si>
  <si>
    <t>An méid uisce arna aistarraingt ag láithreáin atá suite i limistéir ina bhfuil ardstrus maidir le huisce</t>
  </si>
  <si>
    <t>Quantità di acqua prelevata presso siti ubicati in aree ad elevato stress idrico</t>
  </si>
  <si>
    <t xml:space="preserve">Imamo vandens kiekis vietose, esančiose didelio vandens stygiaus zonose </t>
  </si>
  <si>
    <t>Ilość wody pobranej w lokalizacjach znajdujących się na obszarach o znacznym deficycie wody</t>
  </si>
  <si>
    <t>Cantidad de agua extraída en emplazamientos situados en zonas con un alto estrés hídrico</t>
  </si>
  <si>
    <t>Količina odvzete vode na lokacijah, ki se nahajajo na območjih z visoko vodno obremenitvijo</t>
  </si>
  <si>
    <t>Quantidade de água captada em locais situados em áreas com elevado stress hídrico</t>
  </si>
  <si>
    <t>Water discharge from undertaking production processes</t>
  </si>
  <si>
    <t>Vandudledning fra virksomhedens produktionsprocesser</t>
  </si>
  <si>
    <t>Waterlozing van productieprocessen van de onderneming</t>
  </si>
  <si>
    <t>Rejets d’eau provenant des processus de production de l’entreprise</t>
  </si>
  <si>
    <t>Wasserableitung aus den Produktionsprozessen des Unternehmens</t>
  </si>
  <si>
    <t>Scaoileadh uisce ó phróisis táirgthe</t>
  </si>
  <si>
    <t>Scarico di acque risultante dai processi di produzione dell'impresa</t>
  </si>
  <si>
    <t>Vandens išleidimas iš įmonės gamybos procesų</t>
  </si>
  <si>
    <t>Zrzut wody w ramach procesów produkcyjnych jednostki</t>
  </si>
  <si>
    <t>Vertido de agua de los procesos de producción de la empresa</t>
  </si>
  <si>
    <t>Izpust vode iz proizvodnih procesov</t>
  </si>
  <si>
    <t>Descarga de água dos processos de produção da empresa</t>
  </si>
  <si>
    <t>Total water consumption</t>
  </si>
  <si>
    <t>Vandforbrug</t>
  </si>
  <si>
    <t>Totaal waterverbruik</t>
  </si>
  <si>
    <t>Consommation totale d’eau</t>
  </si>
  <si>
    <t>Gesamtwasserverbrauch</t>
  </si>
  <si>
    <t>Tomhaltas iomlán uisce</t>
  </si>
  <si>
    <t>Consumo idrico totale</t>
  </si>
  <si>
    <t>Bendras vandens suvartojimas</t>
  </si>
  <si>
    <t>Całkowite zużycie wody</t>
  </si>
  <si>
    <t>Consumo total de agua</t>
  </si>
  <si>
    <t>Skupna poraba vode</t>
  </si>
  <si>
    <t>Consumo total de água</t>
  </si>
  <si>
    <t>Virksomheden anvender principperne for den cirkulære økonomi</t>
  </si>
  <si>
    <t>De onderneming past circulaire economieprincipes toe</t>
  </si>
  <si>
    <t>Das Unternehmen wendet Grundsätze der Kreislaufwirtschaft an.</t>
  </si>
  <si>
    <t>La empresa aplica los principios de la economía circular</t>
  </si>
  <si>
    <t>Description of how circular economy principles are applied</t>
  </si>
  <si>
    <t>Beskrivelse af, hvordan principperne for cirkulær økonomi anvendes</t>
  </si>
  <si>
    <t>Beschrijving van hoe de beginselen van de circulaire economie worden toegepast</t>
  </si>
  <si>
    <t>Description de la manière dont les principes de l’économie circulaire sont appliqués</t>
  </si>
  <si>
    <t>Beschreibung, wie die Grundsätze der Kreislaufwirtschaft angewendet werden</t>
  </si>
  <si>
    <t>Cur síos ar chonas a gcuirtear prionsabail an gheilleagair chiorclaigh i bhfeidhm</t>
  </si>
  <si>
    <t>Descrizione di come sono applicati i principi dell'economia circolare</t>
  </si>
  <si>
    <t>Aprašymas, kaip taikomi žiedinės ekonomikos principai</t>
  </si>
  <si>
    <t>Opis sposobu stosowania zasad gospodarki o obiegu zamkniętym</t>
  </si>
  <si>
    <t>Descripción de cómo se aplican los principios de la economía circular</t>
  </si>
  <si>
    <t>Opis načina uporabe načel krožnega gospodarstva</t>
  </si>
  <si>
    <t>Descrição de como os princípios da economia circular são aplicados</t>
  </si>
  <si>
    <t>Waste diverted to recycle or reuse (volume)</t>
  </si>
  <si>
    <t>Affald omdirigeret til genanvendelse eller genbrug (volumen)</t>
  </si>
  <si>
    <t>Afval  herbestemd voor recycling of hergebruik (volume)</t>
  </si>
  <si>
    <t>Déchets destinés à être recyclés ou réutilisés (en volume)</t>
  </si>
  <si>
    <t>Abfälle, die zum Recycling oder zur Wiederverwendung umgeleitet werden (Volumen)</t>
  </si>
  <si>
    <t>Dramhaíl atreoraithe chuig athchúrsáil nó athúsáid (toirt)</t>
  </si>
  <si>
    <t>Rifiuti reindirizzati al riciclaggio o riutilizzo (volume)</t>
  </si>
  <si>
    <t>Atliekos, nukreiptos perdirbti arba pakartotinai naudoti (tūris)</t>
  </si>
  <si>
    <t>Odpady kierowane do recyklingu lub ponownego użycia (objętość)</t>
  </si>
  <si>
    <t>Residuos desviados para su reciclaje o reutilización (volumen)</t>
  </si>
  <si>
    <t>Odpadki, preusmerjeni v recikliranje ali ponovno uporabo (prostornina)</t>
  </si>
  <si>
    <t>Resíduos desviados para reciclagem ou reutilização (volume)</t>
  </si>
  <si>
    <t>Waste diverted to recycle or reuse (mass)</t>
  </si>
  <si>
    <t>Affald omdirigeret til genanvendelse eller genbrug (masse)</t>
  </si>
  <si>
    <t>Afval herbestemd voor recycling of hergebruik (massa)</t>
  </si>
  <si>
    <t>Déchets destinés à être recyclés ou réutilisés (en masse)</t>
  </si>
  <si>
    <t>Abfälle, die zum Recycling oder zur Wiederverwendung umgeleitet werden (Masse)</t>
  </si>
  <si>
    <t>Dramhaíl atreoraithe chuig athchúrsáil nó athúsáid (mais)</t>
  </si>
  <si>
    <t>Rifiuti reindirizzati al riciclaggio o riutilizzo (massa)</t>
  </si>
  <si>
    <t>Atliekos, nukreiptos perdirbti arba pakartotinai naudoti (masė)</t>
  </si>
  <si>
    <t>Odpady kierowane do recyklingu lub ponownego użycia (masa)</t>
  </si>
  <si>
    <t>Residuos desviados para su reciclaje o reutilización (masa)</t>
  </si>
  <si>
    <t>Odpadki, preusmerjeni v recikliranje ali ponovno uporabo (masa)</t>
  </si>
  <si>
    <t>Resíduos desviados para reciclagem ou reutilização (massa)</t>
  </si>
  <si>
    <t>Waste directed to disposal (volume)</t>
  </si>
  <si>
    <t>Affald sendt til bortskaffelse (volume)</t>
  </si>
  <si>
    <t>Restafval (niet recyclebaar/herbruikbaar) (volume)</t>
  </si>
  <si>
    <t>Déchets destinés à être éliminés (en volume)</t>
  </si>
  <si>
    <t>Abfälle, die der Beseitigung zugeführt werden (Volumen)</t>
  </si>
  <si>
    <t>Dramhaíl arna treorú chuig diúscairt (toirt)</t>
  </si>
  <si>
    <t>Rifiuti destinati allo smaltimento (volume)</t>
  </si>
  <si>
    <t>Atliekos, nukreiptos šalinimui (tūris)</t>
  </si>
  <si>
    <t>Odpady kierowane do unieszkodliwienia (objętość)</t>
  </si>
  <si>
    <t>Residuos dirigidos a la eliminación (volumen)</t>
  </si>
  <si>
    <t>Odpadki, namenjeni za odstranjevanje (prostornina)</t>
  </si>
  <si>
    <t>Resíduos destinados à eliminação (volume)</t>
  </si>
  <si>
    <t>Waste directed to disposal (mass)</t>
  </si>
  <si>
    <t>Affald sendt til bortskaffelse (masse)</t>
  </si>
  <si>
    <t>Restafval (niet recyclebaar/herbruikbaar) (massa)</t>
  </si>
  <si>
    <t>Déchets destinés à être éliminés (en masse)</t>
  </si>
  <si>
    <t>Abfälle, die der Beseitigung zugeführt werden (Masse)</t>
  </si>
  <si>
    <t>Rifiuti destinati allo smaltimento (massa)</t>
  </si>
  <si>
    <t>Atliekos, nukreiptos šalinimui (masė)</t>
  </si>
  <si>
    <t>Odpady kierowane do unieszkodliwienia (masa)</t>
  </si>
  <si>
    <t>Residuos destinados a eliminación (masa)</t>
  </si>
  <si>
    <t>Odpadki, namenjeni za odstranjevanje (masa)</t>
  </si>
  <si>
    <t>Resíduos destinados à eliminação (massa)</t>
  </si>
  <si>
    <t>Total waste recycled, reused and directed to disposal (volume)</t>
  </si>
  <si>
    <t xml:space="preserve">Samlet mængde affald genanvendt, genbrugt og sendt til bortskaffelse (volume) </t>
  </si>
  <si>
    <t>Totale hoeveelheid afval die wordt gerecycled, hergebruikt en bestemd is voor verwijdering (volume)</t>
  </si>
  <si>
    <t>Total des déchets recyclés, réutilisés et destinés à être éliminés (en volume)</t>
  </si>
  <si>
    <t>Gesamt-Abfallaufkommen, das recycelt, wiederverwendet und der Beseitigung zugeführt wird (Volumen)</t>
  </si>
  <si>
    <t>Iomlán na dramhaíola atá athchúrsáilte, athúsáidte agus treoraithe chun diúscartha (toirt)</t>
  </si>
  <si>
    <t>Totale rifiuti riciclati, riutilizzati e destinati allo smaltimento (volume)</t>
  </si>
  <si>
    <t>Bendras atliekų kiekis, kuris buvo perdirbtas, pakartotinai panaudotas ir nukreiptas šalinimui (tūris)</t>
  </si>
  <si>
    <t>Całkowita ilość odpadów poddanych recyklingowi, ponownemu użyciu oraz unieszkodliwieniu (objętość)</t>
  </si>
  <si>
    <t>Residuos totales reciclados, reutilizados y dirigidos a eliminación (volumen)</t>
  </si>
  <si>
    <t>Izračun: odpadki, preusmerjeni v recikliranje ali ponovno uporabo + odpadki, preusmerjeni v odstranjevanje (prostornina)</t>
  </si>
  <si>
    <t>Resíduos totais reciclados, reutilizados e encaminhados para eliminação (volume)</t>
  </si>
  <si>
    <t>Total waste recycled, reused and directed to disposal (mass)</t>
  </si>
  <si>
    <t xml:space="preserve">Samlet mængde affald genanvendt, genbrugt og sendt til bortskaffelse (masse) </t>
  </si>
  <si>
    <t>Totale hoeveelheid afval gerecycled, hergebruikt en bestemd voor verwijdering (massa)</t>
  </si>
  <si>
    <t>Total des déchets recyclés, réutilisés et destinés à être éliminés (en masse)</t>
  </si>
  <si>
    <t>Gesamt-Abfallaufkommen, das recycelt, wiederverwendet und der Beseitigung zugeführt wird (Masse)</t>
  </si>
  <si>
    <t>Iomlán na dramhaíola atá athchúrsáilte, athúsáidte agus treoraithe chun diúscartha (mais)</t>
  </si>
  <si>
    <t>Bendras atliekų kiekis, kuris buvo perdirbtas, pakartotinai panaudotas ir nukreiptas šalinimui (masė)</t>
  </si>
  <si>
    <t>Całkowita ilość odpadów poddanych recyklingowi, ponownemu użyciu oraz skierowanych do unieszkodliwienia (masa)</t>
  </si>
  <si>
    <t>Residuos totales reciclados, reutilizados y dirigidos a la eliminación (masa)</t>
  </si>
  <si>
    <t>Izračun: odpadki, preusmerjeni v recikliranje ali ponovno uporabo + odpadki, preusmerjeni v odstranjevanje (masa)</t>
  </si>
  <si>
    <t>Total de resíduos reciclados, reutilizados e destinados à eliminação (massa)</t>
  </si>
  <si>
    <t>Samlet mængde farligt affald genereret (masse)</t>
  </si>
  <si>
    <t>Totale hoeveelheid  gegenereerd gevaarlijk afval (massa)</t>
  </si>
  <si>
    <t>Gesamtaufkommen gefährlicher Abfälle (Masse)</t>
  </si>
  <si>
    <t>Iomlán na dramhaíola guaisí a ghintear (mais)</t>
  </si>
  <si>
    <t>Bendras pavojingų atliekų kiekis (masė)</t>
  </si>
  <si>
    <t>Residuos peligrosos totales generados (masa)</t>
  </si>
  <si>
    <t>Total de resíduos perigosos gerados (massa)</t>
  </si>
  <si>
    <t>Samlet mængde ikke-farligt affald genereret (masse)</t>
  </si>
  <si>
    <t>Totale hoeveelheid gegenereerd niet-gevaarlijk afval (massa)</t>
  </si>
  <si>
    <t>Gesamtaufkommen nicht gefährlicher Abfälle (Masse)</t>
  </si>
  <si>
    <t>Dramhaíl neamhghuaiseach iomlán a ghintear (mais)</t>
  </si>
  <si>
    <t>Residuos no peligrosos totales generados (masa)</t>
  </si>
  <si>
    <t>Total de resíduos não perigosos gerados (massa)</t>
  </si>
  <si>
    <t xml:space="preserve">Samlet mængde affald genereret (masse) </t>
  </si>
  <si>
    <t>Totale hoeveelheid  gegenereerd afval (massa)</t>
  </si>
  <si>
    <t>Gesamtabfallaufkommen (Masse)</t>
  </si>
  <si>
    <t>Iomlán na dramhaíola a ghintear (mais)</t>
  </si>
  <si>
    <t>Bendras susidariusių atliekų kiekis (masė)</t>
  </si>
  <si>
    <t>Całkowita ilość wytworzonych odpadów (masa)</t>
  </si>
  <si>
    <t>Izračun: skupna količina nastalih nevarnih odpadkov + skupna količina nastalih nenevarnih odpadkov (masa)</t>
  </si>
  <si>
    <t>Total de resíduos gerados (massa)</t>
  </si>
  <si>
    <t>Samlet mængde farligt affald genereret (volume)</t>
  </si>
  <si>
    <t>Totale hoeveelheid  gegenereerd gevaarlijk afval (volume)</t>
  </si>
  <si>
    <t>Iomlán na dramhaíola guaisí a ghintear (toirt)</t>
  </si>
  <si>
    <t>Bendras susidariusių pavojingųjų atliekų kiekis (tūris)</t>
  </si>
  <si>
    <t>Residuos peligrosos totales generados (volumen)</t>
  </si>
  <si>
    <t>Total de resíduos perigosos gerados (volume)</t>
  </si>
  <si>
    <t>Samlet mængde ikke-farligt affald genereret (volume)</t>
  </si>
  <si>
    <t>Totale hoeveelheid gegenereerd niet-gevaarlijk afval  (volume)</t>
  </si>
  <si>
    <t>Dramhaíl Neamhghuaiseach Iomlán a gineadh (toirt)</t>
  </si>
  <si>
    <t>Bendras susidariusi nepavojingųjų atliekų kiekis (tūris)</t>
  </si>
  <si>
    <t>Total de resíduos não perigosos gerados (volume)</t>
  </si>
  <si>
    <t xml:space="preserve">Samlet mængde affald genereret (volume) </t>
  </si>
  <si>
    <t>Totale hoeveelheid gegenereerd afval  (volume)</t>
  </si>
  <si>
    <t>Iomlán na dramhaíola a ghintear (toirt)</t>
  </si>
  <si>
    <t>Całkowita ilość wytworzonych odpadów (objętość)</t>
  </si>
  <si>
    <t>Total de residuos generados (volumen)</t>
  </si>
  <si>
    <t>skupno število nastalih nevarnih odpadkov + skupno število nastalih nenevarnih odpadkov (prostornina)</t>
  </si>
  <si>
    <t>Total de resíduos gerados (volume)</t>
  </si>
  <si>
    <t>Name of the material used</t>
  </si>
  <si>
    <t>Navn på det anvendte materiale</t>
  </si>
  <si>
    <t>Naam van het gebruikte materiaal</t>
  </si>
  <si>
    <t>Nom de la matière utilisée</t>
  </si>
  <si>
    <t>Name des verwendeten Materials</t>
  </si>
  <si>
    <t>Ainm an ábhair a úsáideadh</t>
  </si>
  <si>
    <t>Nome del materiale utilizzato</t>
  </si>
  <si>
    <t>Naudojamos medžiagos pavadinimas</t>
  </si>
  <si>
    <t>Nazwa wykorzystanego materiału</t>
  </si>
  <si>
    <t>Nombre del material utilizado</t>
  </si>
  <si>
    <t>Ime uporabljenega materiala</t>
  </si>
  <si>
    <t>Nome do material utilizado</t>
  </si>
  <si>
    <t>Weight of material used</t>
  </si>
  <si>
    <t>Vægt af anvendt materiale</t>
  </si>
  <si>
    <t>Gewicht van het gebruikte materiaal</t>
  </si>
  <si>
    <t>Poids de la matière utilisée</t>
  </si>
  <si>
    <t>Gewicht des verwendeten Materials</t>
  </si>
  <si>
    <t>Meáchan an ábhair a úsáideadh</t>
  </si>
  <si>
    <t>Peso del materiale utilizzato</t>
  </si>
  <si>
    <t>Naudotos medžiagos masė</t>
  </si>
  <si>
    <t>Waga wykorzystanego materiału</t>
  </si>
  <si>
    <t>Peso del material utilizado</t>
  </si>
  <si>
    <t>Masa uporabljenega materiala</t>
  </si>
  <si>
    <t>Peso do material utilizado</t>
  </si>
  <si>
    <t>Volume of material used</t>
  </si>
  <si>
    <t>Volumen af anvendt materiale</t>
  </si>
  <si>
    <t xml:space="preserve">Volume van het gebruikte materiaal </t>
  </si>
  <si>
    <t>Volume de la matière utilisée</t>
  </si>
  <si>
    <t>Volumen des verwendeten Materials</t>
  </si>
  <si>
    <t>Toirt an ábhair a úsáideadh</t>
  </si>
  <si>
    <t>Volume del materiale utilizzato</t>
  </si>
  <si>
    <t>Naudotos medžiagos tūris</t>
  </si>
  <si>
    <t>Objętość wykorzystanego materiału</t>
  </si>
  <si>
    <t>Volumen de material utilizado</t>
  </si>
  <si>
    <t>Prostornina uporabljenega materiala</t>
  </si>
  <si>
    <t>Volume de material utilizado</t>
  </si>
  <si>
    <t>Total weight of material used</t>
  </si>
  <si>
    <t>Samlet vægt af anvendt materiale</t>
  </si>
  <si>
    <t>Totaal gewicht van het gebruikte materiaal</t>
  </si>
  <si>
    <t>Poids total de la matière utilisée</t>
  </si>
  <si>
    <t>Gesamtgewicht des verwendeten Materials</t>
  </si>
  <si>
    <t>Meáchan iomlán an ábhair a úsáideadh</t>
  </si>
  <si>
    <t>Peso totale del materiale utilizzato</t>
  </si>
  <si>
    <t>Visų naudotų medžiagų masė</t>
  </si>
  <si>
    <t>Całkowita masa wykorzystanego materiału</t>
  </si>
  <si>
    <t>Peso total del material utilizado</t>
  </si>
  <si>
    <t>Skupna masa uporabljenega materiala</t>
  </si>
  <si>
    <t>Peso total do material utilizado</t>
  </si>
  <si>
    <t>Total volume of material used</t>
  </si>
  <si>
    <t>Samlet mængde af anvendt materiale</t>
  </si>
  <si>
    <t xml:space="preserve">Totaal volume van het gebruikte materiaal </t>
  </si>
  <si>
    <t>Volume total de la matière utilisée</t>
  </si>
  <si>
    <t>Gesamtvolumen des verwendeten Materials</t>
  </si>
  <si>
    <t>Toirt iomlán an ábhair a úsáideadh</t>
  </si>
  <si>
    <t>Volume totale del materiale utilizzato</t>
  </si>
  <si>
    <t>Visų naudotų medžiagų tūris</t>
  </si>
  <si>
    <t xml:space="preserve">Całkowita objętość wykorzystanego materiału </t>
  </si>
  <si>
    <t>Volumen total de material utilizado</t>
  </si>
  <si>
    <t>Skupna prostornina uporabljenega materiala</t>
  </si>
  <si>
    <t>Fluxo mássico total dos materiais utilizados</t>
  </si>
  <si>
    <t>Number of permanent contact employees</t>
  </si>
  <si>
    <t xml:space="preserve">Antal ansatte med tidsubegrænset kontrakt </t>
  </si>
  <si>
    <t>Aantal werknemers met een vast contract</t>
  </si>
  <si>
    <t>Nombre de salariés en contrat de travail à durée indéterminée</t>
  </si>
  <si>
    <t>Anzahl der Beschäftigten mit unbefristetem Vertrag</t>
  </si>
  <si>
    <t>Líon na bhfostaithe ar chonradh buan</t>
  </si>
  <si>
    <t>Numero di dipendenti con contratto permanente</t>
  </si>
  <si>
    <t>Darbuotojų, turinčių neterminuotą sutartį, skaičius</t>
  </si>
  <si>
    <t>Liczba pracowników zatrudnionych na umowę na czas nieokreślony</t>
  </si>
  <si>
    <t>Número de empleados con contrato indefinido</t>
  </si>
  <si>
    <t>Število zaposlenih za nedoločen čas</t>
  </si>
  <si>
    <t>Número de trabalhadores com contrato sem termo</t>
  </si>
  <si>
    <t>Number of temporary contract employees</t>
  </si>
  <si>
    <t xml:space="preserve">Antal ansatte med midlertidige kontrakter </t>
  </si>
  <si>
    <t>Aantal werknemers met een tijdelijk contract</t>
  </si>
  <si>
    <t>Nombre de salariés en contrat de travail à durée déterminée</t>
  </si>
  <si>
    <t>Anzahl der Beschäftigten mit befristetem Vertrag</t>
  </si>
  <si>
    <t>Líon na bhfostaithe ar chonradh sealadach</t>
  </si>
  <si>
    <t>Numero di dipendenti con contratto temporaneo</t>
  </si>
  <si>
    <t>Darbuotojų, turinčių terminuotą sutartį, skaičius</t>
  </si>
  <si>
    <t>Liczba pracowników zatrudnionych na umowę na czas określony</t>
  </si>
  <si>
    <t>Número de empleados con contrato temporal</t>
  </si>
  <si>
    <t>Število zaposlenih za določen čas</t>
  </si>
  <si>
    <t>Número de trabalhadores com contrato a termo certo</t>
  </si>
  <si>
    <t>Number of male employees</t>
  </si>
  <si>
    <t>Antal mandlige ansatte</t>
  </si>
  <si>
    <t>Aantal mannelijke werknemers</t>
  </si>
  <si>
    <t>Nombre de salariés hommes</t>
  </si>
  <si>
    <t>Anzahl der männlicher Beschäftigten</t>
  </si>
  <si>
    <t>Líon na bhfostaithe fireann</t>
  </si>
  <si>
    <t>Numero di dipendenti uomini</t>
  </si>
  <si>
    <t>Vyrų darbuotojų skaičius</t>
  </si>
  <si>
    <t>Liczba pracowników płci męskiej</t>
  </si>
  <si>
    <t>Número de empleados masculinos</t>
  </si>
  <si>
    <t>Število zaposlenih moških</t>
  </si>
  <si>
    <t>Número de trabalhadores do sexo masculino</t>
  </si>
  <si>
    <t>Number of female employees</t>
  </si>
  <si>
    <t>Antal kvindelige ansatte</t>
  </si>
  <si>
    <t>Aantal vrouwelijke werknemers</t>
  </si>
  <si>
    <t>Nombre de salariés femmes</t>
  </si>
  <si>
    <t>Anzahl der weiblichen Beschäftigten</t>
  </si>
  <si>
    <t>Líon na bhfostaithe baineann</t>
  </si>
  <si>
    <t>Numero di dipendenti donne</t>
  </si>
  <si>
    <t>Moterų darbuotojų skaičius</t>
  </si>
  <si>
    <t xml:space="preserve">Liczba pracowników płci żeńskiej </t>
  </si>
  <si>
    <t>Número de empleadas</t>
  </si>
  <si>
    <t>Število zaposlenih žensk</t>
  </si>
  <si>
    <t>Número de trabalhadores do sexo feminino</t>
  </si>
  <si>
    <t>Number of other gender employees</t>
  </si>
  <si>
    <t>Antal ansatte af andet køn</t>
  </si>
  <si>
    <t>Aantal werknemers van overig gender</t>
  </si>
  <si>
    <t>Nombre de salariés d'autres genres</t>
  </si>
  <si>
    <t>Anzahl der Beschäftigten anderen Geschlechts</t>
  </si>
  <si>
    <t>Líon na bhfostaithe de chuid inscne eile</t>
  </si>
  <si>
    <t>Numero di dipendenti altro genere</t>
  </si>
  <si>
    <t>Kitos lyties darbuotojų skaičius</t>
  </si>
  <si>
    <t>Liczba pracowników innej płci</t>
  </si>
  <si>
    <t>Número de empleados de otro género</t>
  </si>
  <si>
    <t>Število zaposlenih oseb drug spol</t>
  </si>
  <si>
    <t>Número de trabalhadores de outro género</t>
  </si>
  <si>
    <t>Number of non-reported gender employees</t>
  </si>
  <si>
    <t>Antal ansatte med ikke-oplyst køn</t>
  </si>
  <si>
    <t>Aantal werknemers waarvan het gender niet is gerapporteerd</t>
  </si>
  <si>
    <t>Nombre d'employés dont le genre n'est pas communiqué</t>
  </si>
  <si>
    <t>Anzahl der Beschäftigten mit nicht angegebenem Geschlecht</t>
  </si>
  <si>
    <t>Líon na bhfostaithe nár tuairiscíodh a gcuid inscne</t>
  </si>
  <si>
    <t>Numero di dipendenti di genere non comunicato</t>
  </si>
  <si>
    <t>Nenurodytos lyties darbuotojų skaičius</t>
  </si>
  <si>
    <t>Liczba pracowników, których płeć nie została zgłoszona</t>
  </si>
  <si>
    <t>Número de empleados con género no notificado</t>
  </si>
  <si>
    <t>Število zaposlenih oseb nerazkriti spol</t>
  </si>
  <si>
    <t>Número de trabalhadores cujo género não foi comunicado</t>
  </si>
  <si>
    <t xml:space="preserve">Number of employees for country of employment contract </t>
  </si>
  <si>
    <t>Antal ansatte for landet, hvor ansættelseskontrakten er indgået</t>
  </si>
  <si>
    <t>Aantal werknemers per land van arbeidsovereenkomst</t>
  </si>
  <si>
    <t>Nombre de salariés pour le pays du contrat de travail</t>
  </si>
  <si>
    <t>Anzahl der Beschäftigten nach Land des Arbeitsvertrags</t>
  </si>
  <si>
    <t>Líon na bhfostaithe don tír ina bhfuil an conradh fostaíochta</t>
  </si>
  <si>
    <t>Numero di dipendenti per paese del contratto di lavoro</t>
  </si>
  <si>
    <t>Darbuotojų skaičius pagal įdarbinimo šalį</t>
  </si>
  <si>
    <t>Liczba pracowników według kraju umowy o pracę</t>
  </si>
  <si>
    <t>Número de empleados por país del contrato de trabajo</t>
  </si>
  <si>
    <t>Število zaposlenih za državo pogodbe o zaposlitvi</t>
  </si>
  <si>
    <t>Número de trabalhadores por país do contrato de trabalho</t>
  </si>
  <si>
    <t>Employee turnover rate</t>
  </si>
  <si>
    <t>Medarbejderomsætning</t>
  </si>
  <si>
    <t>Medewerkerverlooppercentage</t>
  </si>
  <si>
    <t>Taux de rotation du personnel</t>
  </si>
  <si>
    <t>Fluktuationsrate der Beschäftigten</t>
  </si>
  <si>
    <t>Ráta lámhdeachais fostaithe</t>
  </si>
  <si>
    <t>Tasso di avvicendamento dei dipendenti</t>
  </si>
  <si>
    <t>Darbuotojų kaitos rodiklis</t>
  </si>
  <si>
    <t>Wskaźnik rotacji pracowników</t>
  </si>
  <si>
    <t>Tasa de rotación de empleados</t>
  </si>
  <si>
    <t>Izračun: (število zaposlenih, ki so odšli v poročevalskem obdobju / povprečno število zaposlenih v poročevalskem obdobju) * 100</t>
  </si>
  <si>
    <t>Taxa de rotatividade do trabalhador</t>
  </si>
  <si>
    <t>Number of recordable work related accidents in the reporting period</t>
  </si>
  <si>
    <t xml:space="preserve">Antallet af arbejdsrelaterede ulykker i rapporteringsperioden, der kan registreres </t>
  </si>
  <si>
    <t>Aantal registreerbare arbeidsongevallen  in de rapportageperiode</t>
  </si>
  <si>
    <t>Líon na dtimpistí oibre intaifeadta a tharla sa sa thréimhse thuairiscithe</t>
  </si>
  <si>
    <t>Registruojamų su darbu susijusių įvykių, kuriuose įvyko nelaimingų atsitikimų skaičius ataskaitiniu laikotarpiu</t>
  </si>
  <si>
    <t>Número de accidentes de trabajo registrables en el periodo de información</t>
  </si>
  <si>
    <t>Število priglašenih nezgod pri delu v obdobju poročanja</t>
  </si>
  <si>
    <t>Número de acidentes de trabalho passíveis de registo no período de relato</t>
  </si>
  <si>
    <t>Rate of recordable work related accidents in the reporting period</t>
  </si>
  <si>
    <t>Andelen af arbejdsrelaterede ulykker i rapporteringsperioden, der kan registreres</t>
  </si>
  <si>
    <t xml:space="preserve">Tarieven van registreerbare arbeidsongevallen  in de rapportageperiode
</t>
  </si>
  <si>
    <t>Ráta timpistí intaifeadta a bhaineann leis an obair sa thréimhse thuairiscithe</t>
  </si>
  <si>
    <t xml:space="preserve">Tasso di infortuni registrabili connessi al lavoro nel periodo di riferimento
</t>
  </si>
  <si>
    <t>Izračun: (število zabeleženih nezgod pri delu v poročevalnem letu / skupno število ur, ki so jih v letu opravili vsi zaposleni) * 200000. Znesek 200000 ur predstavlja skupne letne delovne ure 100 zaposlenih (40 ur na teden, 50 tednov na leto) in služi kot standardna osnova za izračun stopnje incidence v enem letu, ki velja za podjetja z do 250 zaposlenimi.</t>
  </si>
  <si>
    <t>Taxa de acidentes de trabalho passíveis de registo no período de relato</t>
  </si>
  <si>
    <t>Antallet af dødsfald som følge af arbejdsrelaterede skader og arbejdsrelateret dårligt helbred</t>
  </si>
  <si>
    <t>Het aantal sterfgevallen als gevolg van arbeidsongevallen en beroepsziekten</t>
  </si>
  <si>
    <t>Nombre de décès dus à des accidents du travail ou à des problèmes de santé liés au travail</t>
  </si>
  <si>
    <t>Líon na mbásanna de thoradh gortuithe atá bainteach leis an obair agus drochshláinte atá bainteach leis an obair.</t>
  </si>
  <si>
    <t>Número de fallecimientos como consecuencia de lesiones y problemas de salud relacionados con el trabajo</t>
  </si>
  <si>
    <t>Število smrtnih žrtev zaradi poškodb pri delu in z delom povezanih bolezni</t>
  </si>
  <si>
    <t>Employees receive pay equal or above minimum wage determined by national law or collective bargaining agreement</t>
  </si>
  <si>
    <t>De ansatte modtager en løn, der er lig med eller højere end den gældende mindsteløn for det land, der 
rapporteres om, som fastsat direkte ved national lov om mindsteløn eller gennem en kollektiv overenskomst?</t>
  </si>
  <si>
    <t>Werknemers ontvangen een beloning die gelijk is aan of hoger is dan het minimumloon zoals bepaald  in de nationale wetgeving of collectieve arbeidsovereenkomst.</t>
  </si>
  <si>
    <t>Les salariés perçoivent une rémunération égale ou supérieure au salaire minimum déterminé par la législation nationale ou par une convention collective</t>
  </si>
  <si>
    <t>Beschäftigte erhalten eine Vergütung, die dem durch nationales Recht oder Tarifvertrag festgelegten Mindestlohn entspricht oder darüber liegt.</t>
  </si>
  <si>
    <t>Faigheann fostaithe pá atá cothrom le nó os cionn an íosphá a chinntear de réir an dlí náisiúnta nó comhaontú cómhargála</t>
  </si>
  <si>
    <t xml:space="preserve">I dipendenti percepiscono una retribuzione pari o superiore al salario minimo determinato dal diritto nazionale o mediante contrattazione collettiva
</t>
  </si>
  <si>
    <t>Darbuotojai gauna užmokestį, kuris yra lygus arba aukštesnis už šalyje nustatytą minimalųjį darbo užmokestį pagal nacionalinį įstatymą arba kolektyvinę sutartį.</t>
  </si>
  <si>
    <t>Pracownicy otrzymują wynagrodzenie równe lub wyższe od minimalnego wynagrodzenia określonego przez prawo krajowe lub układ zbiorowy pracy</t>
  </si>
  <si>
    <t>Los empleados reciben un salario igual o superior al salario mínimo determinado por la ley nacional o el convenio colectivo.</t>
  </si>
  <si>
    <t>Zaposleni prejemajo plačilo, ki je enako ali višje od minimalne plače, določene z nacionalno zakonodajo ali kolektivno pogodbo</t>
  </si>
  <si>
    <t>Os trabalhadores recebem uma remuneração igual ou superior ao salário mínimo estabelecido pela legislação nacional ou por convenção coletiva de trabalho</t>
  </si>
  <si>
    <t>Percentage gap in pay between female and male employees</t>
  </si>
  <si>
    <t>Procentvis lønforskel mellem kvindelige og mandlige ansatte</t>
  </si>
  <si>
    <t>Procentueel beloningsverschil tussen vrouwelijke en mannelijke werknemers</t>
  </si>
  <si>
    <t>Écart de rémunération en pourcentage entre les salariés femmes et hommes</t>
  </si>
  <si>
    <t>Bearna phá chéatadánach idir fostaithe fireanna agus baineanna</t>
  </si>
  <si>
    <t>Percentuale del divario retributivo tra dipendenti di sesso femminile e dipendenti di sesso maschile</t>
  </si>
  <si>
    <t>Darbuotojų moterų ir vyrų užmokesčio skirtumas procentais</t>
  </si>
  <si>
    <t>Luka płacowa między pracownikami płci żeńskiej i męskiej w ujęciu procentowym</t>
  </si>
  <si>
    <t>Porcentaje de brecha salarial entre las empleadas y los empleados</t>
  </si>
  <si>
    <t>Izračun: ((povprečna bruto urna postavka zaposlenih moških - povprečna bruto urna postavka zaposlenih žensk) / povprečna bruto urna postavka zaposlenih moških) * 100</t>
  </si>
  <si>
    <t>Diferença percentual na remuneração entre trabalhadores do sexo feminino e masculino</t>
  </si>
  <si>
    <t>Percentage of employees covered by collective bargaining agreements</t>
  </si>
  <si>
    <t>Procentdelen af ansatte, der er omfattet af kollektive overenskomster</t>
  </si>
  <si>
    <t xml:space="preserve">Percentage werknemers dat onder een collectieve arbeidsovereenkomst valt </t>
  </si>
  <si>
    <t>Pourcentage des salariés couverts par des conventions collectives</t>
  </si>
  <si>
    <t>Prozentsatz der Beschäftigten, die durch Tarifverträge abgedeckt sind</t>
  </si>
  <si>
    <t>Céatadán na bhfostaithe a chumhdaítear le comhaontuithe cómhargála</t>
  </si>
  <si>
    <t>Percentuale di dipendenti coperti da contratti collettivi</t>
  </si>
  <si>
    <t>Darbuotojų, kuriems taikomos kolektyvinės sutartys, procentinė dalis</t>
  </si>
  <si>
    <t>Odsetek pracowników objętych układami zbiorowymi pracy</t>
  </si>
  <si>
    <t>Porcentaje de empleados cubiertos por convenios colectivos</t>
  </si>
  <si>
    <t>Izračun: (število zaposlenih, za katere veljajo kolektivne pogodbe / skupno število zaposlenih) * 100</t>
  </si>
  <si>
    <t>Percentagem de trabalhadores abrangidos por convenções coletivas de trabalho</t>
  </si>
  <si>
    <t>Average number of annual training hours per male employee</t>
  </si>
  <si>
    <t>Gennemsnitligt antal årlige uddannelsesstimer pr. mandlig medarbejder</t>
  </si>
  <si>
    <t>Gemiddeld aantal jaarlijkse trainingsuren per mannelijke werknemer</t>
  </si>
  <si>
    <t>Nombre moyen d’heures annuelles de formation par salarié homme</t>
  </si>
  <si>
    <t>Duchschnittliche Anzahl der jährlichen Schulungsstunden je männlichem Beschäftigtem</t>
  </si>
  <si>
    <t>An meánlíon uaireanta oiliúna bliantúla in aghaidh an fhostaí fireann</t>
  </si>
  <si>
    <t>Numero medio annuo di ore di formazione per dipendente di sesso maschile</t>
  </si>
  <si>
    <t>Vidutinis metinis mokymų valandų skaičius vienam darbuotojui (vyrui)</t>
  </si>
  <si>
    <t>Średnia liczba godzin szkoleń w ciągu roku na pracownika płci męskiej</t>
  </si>
  <si>
    <t>Número medio de horas anuales de formación por empleado masculino</t>
  </si>
  <si>
    <t>Povprečno število ur usposabljanja na leto na zaposlenega moškega</t>
  </si>
  <si>
    <t>Número médio de horas de formação anual por trabalhador do sexo masculino</t>
  </si>
  <si>
    <t>Average number of annual training hours per female employee</t>
  </si>
  <si>
    <t>Gennemsnitligt antal årlige uddannelsesstimer pr. kvindelig medarbejder</t>
  </si>
  <si>
    <t>Gemiddeld aantal jaarlijkse trainingsuren per vrouwelijke werknemer</t>
  </si>
  <si>
    <t>Nombre moyen d’heures annuelles de formation par salarié femme</t>
  </si>
  <si>
    <t>Durchschnittliche Anzahl der jährlichen Schulungsstunden je weiblicher Beschäftigter</t>
  </si>
  <si>
    <t>An meánlíon uaireanta oiliúna bliantúla in aghaidh an fhostaí baineann</t>
  </si>
  <si>
    <t>Numero medio annuo di ore di formazione per dipendente di sesso femminile</t>
  </si>
  <si>
    <t>Vidutinis metinis mokymų valandų skaičius vienam darbuotojui (moteriai)</t>
  </si>
  <si>
    <t>Średnia liczba godzin szkoleń w ciągu roku na pracownika płci żeńskiej</t>
  </si>
  <si>
    <t>Número medio de horas anuales de formación por empleada</t>
  </si>
  <si>
    <t>Povprečno število ur usposabljanja na leto na zaposleno žensko</t>
  </si>
  <si>
    <t>Número médio de horas  de formação anual por trabalhador do sexo feminino</t>
  </si>
  <si>
    <t>Average number of annual training hours per other gender employee</t>
  </si>
  <si>
    <t>Gennemsnitligt antal årlige uddannelsesstimer pr. medarbejder med andet køn</t>
  </si>
  <si>
    <t>Gemiddeld aantal jaarlijkse trainingsuren per werknemer van een ander gender</t>
  </si>
  <si>
    <t>Nombre moyen d’heures annuelles de formation par salarié d’un autre genre</t>
  </si>
  <si>
    <t>Durchschnittliche Anzahl der jährlichen Schulungsstunden je Beschäftigtem mit anderem Geschlecht</t>
  </si>
  <si>
    <t>An meánlíon uaireanta oiliúna bliantúla in aghaidh an fhostaí de chuid inscne eile</t>
  </si>
  <si>
    <t>Numero medio annuo di ore di formazione per dipendente di altro genere</t>
  </si>
  <si>
    <t>Vidutinis metinis mokymų valandų skaičius vienam kitos lyties darbuotojui</t>
  </si>
  <si>
    <t>Średnia liczba godzin szkoleń w ciągu roku na pracownika innej płci</t>
  </si>
  <si>
    <t>Número medio de horas anuales de formación por empleado de otro género</t>
  </si>
  <si>
    <t>Povprečno število ur usposabljanja na leto na zaposleno osebo drug spol</t>
  </si>
  <si>
    <t>Número médio de horas de formação anual  por trabalhador de outro género</t>
  </si>
  <si>
    <t>Average number of annual training hours per non-reported gender employee</t>
  </si>
  <si>
    <t>Gennemsnitligt antal årlige uddannelsestimer pr. medarbejder uden oplyst køn</t>
  </si>
  <si>
    <t>Gemiddeld aantal jaarlijkse trainingsuren per werknemer met niet-gerapporteerd geslacht</t>
  </si>
  <si>
    <t xml:space="preserve">Nombre moyen d’heures annuelles de formation par salarié dont le genre n'est pas communiqué </t>
  </si>
  <si>
    <t>Durchschnittliche Anzahl der jährlichen Schulungsstunden je Beschäftigtem mit nicht angegebenem Geschlecht</t>
  </si>
  <si>
    <t>An meánlíon uaireanta oiliúna bliantúla in aghaidh an fhostaí nár tuairscíodh a gcuid inscne</t>
  </si>
  <si>
    <t>Numero medio annuo di ore di formazione per dipendente di genere non comunicato</t>
  </si>
  <si>
    <t>Vidutinis metinis mokymų valandų skaičius vienam neatskleistos lyties darbuotojui</t>
  </si>
  <si>
    <t>Średnia liczba godzin szkoleń w ciągu roku na pracownika, którego płeć nie została ujawniona</t>
  </si>
  <si>
    <t>Número medio de horas de formación anual por empleado de género no declarado</t>
  </si>
  <si>
    <t>Povprečno število ur usposabljanja na leto na zaposleno osebo nerazkriti spol</t>
  </si>
  <si>
    <t>Número médio de horas de formação anual por trabalhador cujo género não foi declarado</t>
  </si>
  <si>
    <t>Total number of convictions for the violation of anti-corruption and anti-bribery laws</t>
  </si>
  <si>
    <t>Samlet antal domfældelser for overtrædelse af love om bekæmpelse af korruption og bestikkelse</t>
  </si>
  <si>
    <t xml:space="preserve">Totaal aantal veroordelingen wegens overtreding van de anti-corruptie- en antiomkopingswetten. </t>
  </si>
  <si>
    <t>Líon iomlán na gciontuithe as sárú ar dhlíthe frith-éillithe agus frithbhreabaireachta</t>
  </si>
  <si>
    <t>Numero totale di condanne per violazione delle leggi in materia di lotta alla corruzione passiva e attiva</t>
  </si>
  <si>
    <t>Bendras apkaltinamųjų nuosprendžių skaičius už kovos su korupcija ir kyšininkavimu įstatymų pažeidimus</t>
  </si>
  <si>
    <t>Całkowita liczba skazań za naruszenie przepisów antykorupcyjnych i przepisów w sprawie zwalczania przekupstwa</t>
  </si>
  <si>
    <t>Skupno število obsodb za kršitev zakonodaje o boju proti korupciji in podkupovanju</t>
  </si>
  <si>
    <t>Total amount of fines for the violation of anticorruption and antibribery laws</t>
  </si>
  <si>
    <t xml:space="preserve">Totaalbedrag van boetes voor overtreding van anticorruptie- en antiomkopingswetten
</t>
  </si>
  <si>
    <t>An méid iomlán fíneálacha as sárú ar dhlíthe frith-éillithe agus frithbhreabaireachta</t>
  </si>
  <si>
    <t>Importo complessivo delle ammende per violazione delle leggi in materia di lotta alla corruzione passiva e attiva</t>
  </si>
  <si>
    <t>Bendras baudų už korupcijos ir kyšininkavimo įstatymų pažeidimus dydis</t>
  </si>
  <si>
    <t>Cantidad total de multas por la violación de las leyes anticorrupción y de soborno</t>
  </si>
  <si>
    <t>Skupni znesek glob za kršitev zakonodaje o boju proti korupciji in podkupovanju</t>
  </si>
  <si>
    <t>Montante total de multas por violação das leis anticorrupção e antissuborno</t>
  </si>
  <si>
    <t>Description of significant groups of products and/or services offered</t>
  </si>
  <si>
    <t xml:space="preserve">Beskrivelse af væsentlige grupper af produkter og/eller tjenesteydelser, som virksomheden tilbyder </t>
  </si>
  <si>
    <t>Tuairisc ar ghrúpaí suntasacha táirgí agus/nó seirbhísí arna dtairiscint</t>
  </si>
  <si>
    <t>Aprašymas apie reikšmingus siūlomus produktus ir (arba) paslaugų grupes</t>
  </si>
  <si>
    <t>Descripción de grupos significativos de productos y/o servicios ofrecidos</t>
  </si>
  <si>
    <t>Opis pomembnih skupin ponujenih proizvodov in/ali storitev</t>
  </si>
  <si>
    <t>Description of significant market(s) the undertaking operates in</t>
  </si>
  <si>
    <t>Beskrivelse af det eller de væsentlige markeder, som virksomheden operer på</t>
  </si>
  <si>
    <t xml:space="preserve"> Beschrijving van de belangrijkste markt(en) waarin  de onderneming actief is</t>
  </si>
  <si>
    <t xml:space="preserve">Description du ou des grands marchés sur lesquels l'entreprise exerce ses activités </t>
  </si>
  <si>
    <t>Beschreibung des bedeutenden Marktes bzw. der bedeutenden Märkte, auf denen das Unternehmen tätig ist</t>
  </si>
  <si>
    <t>Tuairisc ar mhargaí suntasacha ina n-oibríonn an gnóthas</t>
  </si>
  <si>
    <t>Descrizione del/i mercato/i significativo/i in cui l'impresa opera</t>
  </si>
  <si>
    <t>Aprašymas apie reikšmingas rinkas (-ų), kuriose veikia įmonė</t>
  </si>
  <si>
    <t>Opis istotnych rynków, na których jednostka prowadzi działalność</t>
  </si>
  <si>
    <t>Descripción del o los mercados significativos en los que opera la empresa</t>
  </si>
  <si>
    <t>npr. B2B, veleprodaja, maloprodaja, države</t>
  </si>
  <si>
    <t>Descrição do(s) mercado(s) significativo(s) em que a empresa opera</t>
  </si>
  <si>
    <t>Description of main business relationships (e.g. key suppliers, customers distribution channels)</t>
  </si>
  <si>
    <t>Beschrijving van de belangrijkste zakelijke relaties (bijv. belangrijkste leveranciers, klanten, distributiekanalen)</t>
  </si>
  <si>
    <t>Description des principales relations d’affaires (par ex. principaux fournisseurs, clients, canaux de distribution)</t>
  </si>
  <si>
    <t>Beschreibung der wesentlichen Geschäftsbeziehungen (z.B. zentrale Lieferanten, Kunden, Vertriebskanäle)</t>
  </si>
  <si>
    <t>Aprašymas apie pagrindinius verslo santykius (pvz., pagrindiniai tiekėjai, klientai, platinimo kanalai)</t>
  </si>
  <si>
    <t>Descripción de las principales relaciones comerciales (p. ej., proveedores clave, canales de distribución de clientes)</t>
  </si>
  <si>
    <t>npr. ključni dobavitelji, kupci, distribucijski kanali in potrošniki</t>
  </si>
  <si>
    <t>Description of key elements of strategy that relates to or affects sustainability issues</t>
  </si>
  <si>
    <t>Beschrijving van de belangrijkste elementen van de strategie die betrekking hebben op of invloed hebben op duurzaamheidskwesties</t>
  </si>
  <si>
    <t>Tuairisc ar na príomheilimintí straitéise a bhaineann le le saincheisteanna inbhuanaitheachta nó a dhéanann difear dóibh</t>
  </si>
  <si>
    <t>Descrizione degli elementi chiave della strategia che riguardano o hanno ripercussioni su questioni attinenti alla sostenibilità</t>
  </si>
  <si>
    <t>Strategijos pagrindinių elementų, susijusių su tvarumo klausimais arba juos veikiančių, aprašymas</t>
  </si>
  <si>
    <t>Opis kluczowych elementów strategii odnoszących się do lub mających wpływ na kwestie zrównoważonego rozwoju</t>
  </si>
  <si>
    <t>Descripción de los elementos clave de la estrategia que se refieren o afectan a cuestiones de sostenibilidad</t>
  </si>
  <si>
    <t>Opis ključnih elementov strategije, ki se nanašajo na trajnostnostne zadeve ali nanje vplivajo</t>
  </si>
  <si>
    <t>Descrição dos elementos fundamentais da estratégia que estão relacionados com ou que afetam questões de sustentabilidade</t>
  </si>
  <si>
    <t>Description of practices, policies and/or future initiatives</t>
  </si>
  <si>
    <t>Beskrivelse af praksisser, politikker og/eller fremtidige initiativer</t>
  </si>
  <si>
    <t>Beschrijving van praktijken, beleid en toekomstige initiatieven</t>
  </si>
  <si>
    <t>Description des pratiques, politiques et/ou initiatives futures</t>
  </si>
  <si>
    <t>Beschreibung von Verfahrensweisen, Richtlinien und/oder künftigen Initiativen</t>
  </si>
  <si>
    <t>Tuairisc ar chleachtais, beartais agus tionscnaimh amach anseo</t>
  </si>
  <si>
    <t>Descrizione di pratiche, politiche e/o iniziative future</t>
  </si>
  <si>
    <t>Perėjimo prie tvaresnės ekonomikos praktikos, politikos ir (arba) būsimų iniciatyvų aprašymas</t>
  </si>
  <si>
    <t>Opis praktyk, polityk i/lub przyszłych inicjatyw</t>
  </si>
  <si>
    <t>Descripción de prácticas, políticas e iniciativas futuras</t>
  </si>
  <si>
    <t>Opis praks, politik in/ali prihodnjih pobud</t>
  </si>
  <si>
    <t>Descrição das práticas, políticas e/ou iniciativas futuras</t>
  </si>
  <si>
    <t>Most senior level within its employees that is accountable for policies</t>
  </si>
  <si>
    <t>Det højeste ledelsesniveau blandt sine ansatte, der er ansvarlig for gennemførelsen af 
politikkerne, når dette er fastlagt af virksomheden</t>
  </si>
  <si>
    <t>Het meest senior niveau binnen haar werknemers dat verantwoordelijk is voor het implementeren van het beleid</t>
  </si>
  <si>
    <t>Niveau hiérarchique le plus élevé parmi les salariés qui est responsable des politiques</t>
  </si>
  <si>
    <t>Höchste Personalebene, die für die Umsetzung der Richtlinien verantwortlich ist</t>
  </si>
  <si>
    <t>An leibhéal is sinsearaí i measc a chuid fostaithe atá freagrach as na beartais a chur chun feidhme</t>
  </si>
  <si>
    <t>Il livello gerarchico più elevato tra i suoi dipendenti cui spetta la responsabilità delle politiche</t>
  </si>
  <si>
    <t>Aukščiausias darbuotojų hierarchijos lygmuo, atsakingas už politikų įgyvendinimą</t>
  </si>
  <si>
    <t>Najwyższy szczebel wśród pracowników, który jest odpowiedzialny za polityki</t>
  </si>
  <si>
    <t>El nivel más alto dentro de sus empleados que es responsable de las políticas</t>
  </si>
  <si>
    <t>Najvišja raven med zaposlenimi, ki je odgovorna za politike</t>
  </si>
  <si>
    <t>Nível hierárquico mais elevado entre os trabalhadores responsáveis pelas políticas</t>
  </si>
  <si>
    <t>Description of the target of practices, policies or future initiatives</t>
  </si>
  <si>
    <t>Beskrivelse af målet for praksisser, politikker eller fremtidige initiativer</t>
  </si>
  <si>
    <t>Beschrijving van het doel van praktijken, beleid of toekomstige initiatieven</t>
  </si>
  <si>
    <t>Description des cibles des pratiques, politiques ou initiatives futures</t>
  </si>
  <si>
    <t>Beschreibung des Ziels von Verfahrensweisen, Richtlinien oder künftigen Initiativen</t>
  </si>
  <si>
    <t>Tuairisc ar sprioc na gcleachtas, na mbeartas nó na dtionscnamh amach anseo</t>
  </si>
  <si>
    <t>Descrizione dell'obiettivo delle pratiche, politiche o iniziative future</t>
  </si>
  <si>
    <t>Perėjimo prie tvaresnės ekonomikos praktikų, politikos ar būsimų iniciatyvų tikslų aprašymas</t>
  </si>
  <si>
    <t>Opis celu praktyk, polityk lub przyszłych inicjatyw</t>
  </si>
  <si>
    <t>Descripción del objetivo de las prácticas, políticas o iniciativas futuras</t>
  </si>
  <si>
    <t>Opis cilja praks, politik ali prihodnjih pobud</t>
  </si>
  <si>
    <t>Descrição do alvo das práticas, políticas ou iniciativas futuras</t>
  </si>
  <si>
    <t>Greenhouse gas emission reduction target base year</t>
  </si>
  <si>
    <t>Basisår for mål for reduktion af drivhusgasudledninger</t>
  </si>
  <si>
    <t xml:space="preserve"> Basisjaar voor het reductiedoel van broeikasgasemissies</t>
  </si>
  <si>
    <t>Année de référence de la cible de réduction des émissions de gaz à effet de serre</t>
  </si>
  <si>
    <t>Basisjahr der Ziele zur Verringerung der Treibhausgasemissionen</t>
  </si>
  <si>
    <t>Bonnbhliain sprioc laghdaithe astaíochtaí gás ceaptha teasa</t>
  </si>
  <si>
    <t>Anno base per l'obiettivo di riduzione delle emissioni di gas a effetto serra</t>
  </si>
  <si>
    <t>Šiltnamio efektą sukeliančių dujų išmetimo mažinimo tikslo baziniai metai</t>
  </si>
  <si>
    <t>Rok bazowy celu redukcji emisji gazów cieplarnianych</t>
  </si>
  <si>
    <t>Año base del objetivo de reducción de emisiones de gases de efecto invernadero</t>
  </si>
  <si>
    <t>Izhodiščno leto cilja zmanjšanja emisij toplogrednih plinov</t>
  </si>
  <si>
    <t>Ano base da meta de redução das emissões de gases com efeito de estufa</t>
  </si>
  <si>
    <t>Greenhouse gas emission reduction target year</t>
  </si>
  <si>
    <t>Målår for mål for reduktion af drivhusgasudledninger</t>
  </si>
  <si>
    <t>Doeljaar voor broeikasgasemissiereductie</t>
  </si>
  <si>
    <t>Année cible de la cible de réduction des émissions de gaz à effet de serre</t>
  </si>
  <si>
    <t>Zieljahr der Ziele zur Verringerung der Treibhausgasemissionen</t>
  </si>
  <si>
    <t>Spriocbhliain laghdaithe astaíochtaí gás ceaptha teasa</t>
  </si>
  <si>
    <t>Anno-obiettivo di riduzione delle emissioni di gas a effetto serra</t>
  </si>
  <si>
    <t>ŠESD emisijų mažinimo tiksliniai metai</t>
  </si>
  <si>
    <t>Rok docelowy redukcji emisji gazów cieplarnianych</t>
  </si>
  <si>
    <t>Año objetivo de reducción de emisiones de gases de efecto invernadero</t>
  </si>
  <si>
    <t>Ciljno leto za zmanjšanje emisij toplogrednih plinov</t>
  </si>
  <si>
    <t>Ano alvo para a redução das emissões de gases com efeito de estufa</t>
  </si>
  <si>
    <t>Disclosure of list of main actions the entity seeks in order to achieve its targets</t>
  </si>
  <si>
    <t xml:space="preserve"> Liste over de vigtigste foranstaltninger, som virksomheden søger at gennemføre for at nå sine mål</t>
  </si>
  <si>
    <t xml:space="preserve">Rapportage van een  lijst van de belangrijkste acties die de entiteit nastreeft om haar doelstellingen te bereiken
</t>
  </si>
  <si>
    <t>Publication de la liste des principales actions que l'entreprise entend mettre en œuvre pour atteindre ses cibles</t>
  </si>
  <si>
    <t>Angabe der wesentlichen Maßnahmen, die das Unternehmen ergreift, um seine Ziele zu erreichen</t>
  </si>
  <si>
    <t xml:space="preserve">Nochtadh de liosta príomhghníomhartha a fhéachann an gnóthas lena gcur chun feidhme chun a spriocanna a bhaint amach </t>
  </si>
  <si>
    <t>Elenco delle principali azioni che l'impresa intende attuare per conseguire i propri obiettivi</t>
  </si>
  <si>
    <t>Pagrindinių veiksmų, kuriuos įmonė numato/ketina vykdyti savo tikslams pasiekti, sąrašo atskleidimas</t>
  </si>
  <si>
    <t>Lista głównych działań, które jednostka zamierza wdrożyć, aby osiągnąć swoje cele</t>
  </si>
  <si>
    <t>Divulgación de la lista de las principales actuaciones que la entidad busca implementar para alcanzar sus metas</t>
  </si>
  <si>
    <t>Razkritje seznama glavnih ukrepov, s katerimi si subjekt prizadeva doseči svoje cilje</t>
  </si>
  <si>
    <t>Divulgação da lista das principais ações que a entidade pretende executar para alcançar as suas metas</t>
  </si>
  <si>
    <t>Description of a transition plan for climate change mitigation, including an explanation of how it is contributing to reduce GHG emissions</t>
  </si>
  <si>
    <t>Oplysninger om omstillingsplanen for modvirkning af klimaændringer, herunder en redegørelse for, hvordan den bidrager til at reducere drivhusgasudledninger</t>
  </si>
  <si>
    <t>Beschrijving van een transitieplan voor klimaatmitigatie, inclusief een toelichting op hoe dit bijdraagt aan de vermindering van broeikasgasemissies</t>
  </si>
  <si>
    <t>Description d’un plan de transition pour l’atténuation du changement climatique comprenant une explication de la manière dont il contribue à réduire les émissions de gaz à effet de serre (GES)</t>
  </si>
  <si>
    <t>Tuairisc ar phlean aistrithe maidir le maolú ar an athrú aeráide, lena n-áirítear míniú ar an gcaoi a bhfuil sé ag rannchuidiú chun a chuid astaíochtaí GCT a laghdú</t>
  </si>
  <si>
    <t>Descrizione di un piano di transizione per la mitigazione dei cambiamenti climatici, compresa una spiegazione del modo in cui il piano sta contribuendo a ridurre le emissioni di gas a effetto serra</t>
  </si>
  <si>
    <t>Perėjimo plano klimato kaitos švelninimui aprašymas, įskaitant paaiškinimą, kaip jis prisideda prie ŠESD emisijų mažinimo.</t>
  </si>
  <si>
    <t>Opis planu transformacji na potrzeby łagodzenia zmiany klimatu, w tym wyjaśnienie, w jaki sposób przyczynia się on do redukcji emisji gazów cieplarnianych</t>
  </si>
  <si>
    <t>Descripción de un plan de transición para la mitigación del cambio climático, incluida una explicación de cómo contribuye a la reducción de las emisiones de GEI</t>
  </si>
  <si>
    <t>Opis načrta prehoda za blažitev podnebnih sprememb, vključno z opisom, kako prispeva k zmanjšanju emisij toplogrednih plinov</t>
  </si>
  <si>
    <t>Descrição do plano de transição para a mitigação das alterações climáticas, incluindo uma explicação sobre como contribui para a redução das emissões de gases com efeito de estufa</t>
  </si>
  <si>
    <t>Date of adoption of transition plan for undertaking not having adopted transition plan yet</t>
  </si>
  <si>
    <t>Tidspunkt for vedtagelse af omstillingsplan for virksomheder, der endnu ikke har vedtaget en omstillingsplan</t>
  </si>
  <si>
    <t>Datum van vaststellingvan het transitieplan voor de onderneming die nog geen transitieplan heeft aangenomen</t>
  </si>
  <si>
    <t>Date d’adoption du plan de transition pour l’entreprise n’ayant pas encore adopté de plan de transition</t>
  </si>
  <si>
    <t>Datum der Annahme des Übergangsplans für Unternehmen, die noch keinen Übergangsplan angenommen haben</t>
  </si>
  <si>
    <t>Dáta a ghlacfaidh le plean aistrithe do ghnóthas nach bhfuil plean aistrithe i bhfeidhm fós aige</t>
  </si>
  <si>
    <t>Data di adozione del piano di transizione per l’impresa che non ha ancora adottato un piano di transizione</t>
  </si>
  <si>
    <t>Planuojama perėjimo plano patvirtinimo data, jei dar nepatvirtinta</t>
  </si>
  <si>
    <t>Data przyjęcia planu transformacji dla jednostki, która jeszcze nie przyjęła planu transformacji</t>
  </si>
  <si>
    <t>Fecha de adopción del plan de transición para la empresa que aún no ha adoptado un plan de transición</t>
  </si>
  <si>
    <t>Datum sprejetja načrta prehoda za podjetje, ki ga še ni sprejelo</t>
  </si>
  <si>
    <t>Data de adoção do plano de transição quando ainda não foi adotado um plano de transição</t>
  </si>
  <si>
    <t>Beschrijving van klimaatgerelateerde gevaren en klimaatgerelateerde transitiegebeurtenissen</t>
  </si>
  <si>
    <t>Description des aléas liés au changement climatique et événements liés à la transition climatique</t>
  </si>
  <si>
    <t>Beschreibung klimabedingter Gefahren und klimabedingter Übergangsereignisse</t>
  </si>
  <si>
    <t>Tuairisc ar na guaiseacha a bhaineann leis an aeráid agus ar na teagmhais aistrithe a bhaineann leis an aeráid</t>
  </si>
  <si>
    <t>Su klimatu susijusių ir pereinamojo laikotarpio rizikų aprašymas</t>
  </si>
  <si>
    <t>Opis zagrożeń związanych z klimatem i zdarzeń dotyczących przejścia związanego z klimatem</t>
  </si>
  <si>
    <t>Descripción de los peligros relacionados con el clima y de los sucesos de transición relacionados con el clima</t>
  </si>
  <si>
    <t>Opis s podnebjem povezanih nevarnosti in s podnebjem povezanih prehodnih dogodkov</t>
  </si>
  <si>
    <t>Descrição dos perigos relacionados com o clima e eventos de transição relacionados com o clima</t>
  </si>
  <si>
    <t>Disclosure of how it has assessed the exposure and sensitivity of its assets, activities and value chain to these hazards and transition events</t>
  </si>
  <si>
    <t xml:space="preserve"> Rapportage van hoe zij de blootstelling aan en gevoeligheid van haar activa, activiteiten en waardeketen met betrekking tot deze gevaren en transitiegebeurtenissen heeft beoordeeld.</t>
  </si>
  <si>
    <t>Angabe, wie es die Exposition und Anfälligkeit seiner Vermögenswerte, Tätigkeiten und Wertschöpfungskette gegenüber diesen Gefahren und Übergangsereignissen bewertet hat</t>
  </si>
  <si>
    <t xml:space="preserve">Nochtadh ar an gcaoi a ndearna sé measúnú ar neamhchosaint agus íogaireacht a chuid sócmhainní, gníomhaíochtaí agus </t>
  </si>
  <si>
    <t xml:space="preserve">Comunicazione del modo in cui ha valutato l'esposizione e la sensibilità dei suoi attivi, delle sue attività e della sua catena del valore a tali pericoli ed eventi di transizione
</t>
  </si>
  <si>
    <t>Atskleidimas, kaip įvertintas turto, veiklos ir vertės grandinės poveikio mastas ir jautrumas klimato ir pereinamojo laikotarpio rizikoms.</t>
  </si>
  <si>
    <t>Divulgación de cómo ha evaluado la exposición y sensibilidad de sus activos, actividades y cadena de valor a estos peligros y sucesos de transición</t>
  </si>
  <si>
    <t>Razkritje načina ocenjevanja izpostavljenosti in občutljivosti svojih sredstev, dejavnosti in vrednostne verige tem nevarnostim in prehodnim dogodkom</t>
  </si>
  <si>
    <t>Tidshorisonterne for eventuelle identificerede klimarelaterede farer og omstillingshændelser</t>
  </si>
  <si>
    <t>Tijdshorizonten van geïdentificeerde klimaatgerelateerde gevaren en transitiegebeurtenissen</t>
  </si>
  <si>
    <t>Na tréimhsí ama d’aon ghuais a bhaineann leis an aeráid agus d’aon teagmhas aistrithe arna sainaithint a nochtadh</t>
  </si>
  <si>
    <t>Indica gli orizzonti temporali di eventuali pericoli ed eventi di transizione legati al clima individuati</t>
  </si>
  <si>
    <t>Nustatytų su klimatu susijusių ir pereinamojo laikotarpio laiko horizontai.</t>
  </si>
  <si>
    <t>Horizontes temporales de cualquier peligro relacionado con el clima y eventos de transición identificados</t>
  </si>
  <si>
    <t>Časovna obdobja vseh opredeljenih s podnebjem povezanih nevarnosti in prehodnih dogodkov</t>
  </si>
  <si>
    <t>Disclosure of whether it has undertaken climate change adaptation actions for any climate related hazards and transition events</t>
  </si>
  <si>
    <t>Oplysning om, hvorvidt virksomheden har gennemført tilpasningstiltag til klimaforandringer for klimarelaterede farer og omstillingshændelser</t>
  </si>
  <si>
    <t xml:space="preserve"> Rapportage over of zij maatregelen voor aanpassing aan de klimaatverandering heeft genomen voor klimaatgerelateerde gevaren en transitiegebeurtenissen.</t>
  </si>
  <si>
    <t xml:space="preserve">Nochtadh cé acu atá nó nach bhfuil gníomhartha oiriúnaithe don athrú aeráide déanta aige le haghaidh aon ghuaise a bhaineann leis an aeráid agus teagmhais aistrithe </t>
  </si>
  <si>
    <t xml:space="preserve">Atskleidimas, ar įmonė ėmėsi veiksmų prisitaikyti prie klimato kaitos dėl bet kokių su klimatu susijusių ir pereinamojo laikotarpio rizikų.
</t>
  </si>
  <si>
    <t>Divulgación de si ha emprendido actuaciones de adaptación al cambio climático con respecto a cualquier peligro y suceso de transición relacionado con el clima.</t>
  </si>
  <si>
    <t>Razkritje, ali je sprejelo ukrepe za prilagajanje podnebnim spremembam za katero koli s podnebjem povezano nevarnost in prehodni dogodek</t>
  </si>
  <si>
    <t>Divulgação de se a empresa empreendeu ações de adaptação às alterações climáticas para quaisquer perigos relacionados com o clima e eventos de transição.</t>
  </si>
  <si>
    <t>Potential adverse effects of climate risks that may affect its financial performance or business operations in the short-, medium- or long-term, indicating whether it assesses the risks to be high, medium or low</t>
  </si>
  <si>
    <t>Oplysninger om de potentielle negative virkninger af klimarisici, der kan påvirke dens finansielle 
resultater eller forretningsaktiviteter på kort, mellemlang eller lang sigt, og angive, om den vurderer risiciene som  høje, mellemstore eller lave.</t>
  </si>
  <si>
    <t xml:space="preserve">De potentiële negatieve effecten van klimaatrisico’s die van invloed kunnen zijn op haar financiële prestaties of bedrijfsactiviteiten op korte, middellange of lange termijn, waarbij zij aangeeft of zij de risico’s als hoog, gemiddeld of laag beoordeelt. 
</t>
  </si>
  <si>
    <t>Potenziell nachteilige Auswirkungen von klimabedingten Risiken, die seine finanzielle Leistungsfähigkeit oder Geschäftstätigkeit kurz-, mittel- oder langfristig beeinträchtigen können, unter der Angabe, ob es die Risiken als hoch, mittel oder niedrig einschätzt.</t>
  </si>
  <si>
    <t>Tionchair dhiúltacha fhéideartha na rioscaí aeráide a d’fhéadfadh difear a dhéanamh dá fheidhmíocht airgeadais nó dá oibríochtaí gnó sa ghearrthéarma, sa mheántéarma agus san fhadtéarma a nochtadh, agus a thabhairt le fios an measann sé na rioscaí a bheith ina rioscaí arda, meánacha nó ísle</t>
  </si>
  <si>
    <t>Galimas neigiamas klimato rizikų poveikis, galintis paveikti įmonės finansinius rezultatus ar veiklą trumpuoju, vidutiniu ar ilguoju laikotarpiu, nurodant, ar rizikos vertinamos kaip didelės, vidutinės ar mažos.</t>
  </si>
  <si>
    <t>Los posibles efectos adversos de los riesgos climáticos que puedan afectar a su rendimiento financiero o a sus operaciones empresariales a corto, medio o largo plazo, indicando si considera que dichos riesgos son elevados, medios o bajos.</t>
  </si>
  <si>
    <t>Morebitni škodljivi učinki podnebnih tveganj, ki lahko kratko-, srednje- ali dolgoročno vplivajo na finančno uspešnost ali poslovanje, z navedbo, ali tveganja ocenjuje kot visoka, srednja ali nizka</t>
  </si>
  <si>
    <t>Efeitos adversos potenciais dos riscos climáticos que possam afetar o desempenho financeiro ou as operações da empresa a curto, médio ou longo prazo, indicando se avalia esses riscos como elevados, médios ou baixos</t>
  </si>
  <si>
    <t>Vrouw-man verhouding op managementniveau voor de  rapportageperiode</t>
  </si>
  <si>
    <t>Ratio de femmes par rapport aux hommes au niveau de l’encadrement pour la période de reporting</t>
  </si>
  <si>
    <t>Cóimheas idir mná agus fir a nochtadh ar leibhéal bainistíochta don tréimhse tuairiscithe</t>
  </si>
  <si>
    <t>Vadovų lygmens moterų ir vyrų santykis ataskaitiniu laikotarpiu</t>
  </si>
  <si>
    <t>Ratio mujeres/hombres a nivel directivo durante el periodo de reporte</t>
  </si>
  <si>
    <t>Izračun: število zaposlenih žensk na vodstveni ravni / število zaposlenih moških na vodstveni ravni</t>
  </si>
  <si>
    <t>Rácio entre mulheres e homens a nível dos quadros superiores para o período de relato</t>
  </si>
  <si>
    <t>Total number of self-employed workers without personnel that are working exclusively for the undertaking</t>
  </si>
  <si>
    <t>Antallet af selvstændige uden personale, der udelukkende arbejder for virksomheden</t>
  </si>
  <si>
    <t xml:space="preserve">Totaal aantal zelfstandigen zonder personeel dat uitsluitend voor de onderneming werkt
</t>
  </si>
  <si>
    <t>Nombre total des travailleurs indépendants sans personnel qui travaillent exclusivement pour l’entreprise</t>
  </si>
  <si>
    <t>Gesamtzahl der Selbstständigen, die ausschließlich für das Unternehmen tätig sind und kein eigenes Personal haben</t>
  </si>
  <si>
    <t>An líon daoine féinfhostaithe seachas daoine atá ag obair don ghnóthas ar bhonn eisiach</t>
  </si>
  <si>
    <t xml:space="preserve">Número total de trabajadores autónomos sin personal que trabajan exclusivamente para la empresa
</t>
  </si>
  <si>
    <t>Skupno število samozaposlenih delavcev brez osebja, ki delajo izključno za podjetje</t>
  </si>
  <si>
    <t>Número total de trabalhadores independentes, sem pessoal ao seu cargo, que trabalham exclusivamente para a empresa</t>
  </si>
  <si>
    <t>Total number of temporary-workers provided by undertakings primarily engaged in employment activities</t>
  </si>
  <si>
    <t xml:space="preserve">Totaal aantal tijdelijke arbeidskrachten, uitgezonden door ondernemingen die zich voornamelijk bezighouden met arbeidsbemiddeling en personeelswerk
</t>
  </si>
  <si>
    <t>Nombre total de travailleurs temporaires mis à disposition par des entreprises exerçant principalement des activités liées à l’emploi</t>
  </si>
  <si>
    <t>Gesamtzahl der Zeitarbeitskräfte, die von Unternehmen bereitgestellt werden, die in erster Linie im Bereich der Vermittlung und Überlassung von Arbeitskräften tätig sind</t>
  </si>
  <si>
    <t>An líon oibrithe sealadacha arna gcur ar fáil ag gnóthais a bhíonn gafa den chuid is mó le ‘gníomhaíochtaí fostaíochta’</t>
  </si>
  <si>
    <t>Skupno število začasnih delavcev, ki jih zagotovijo podjetja, ki se ukvarjajo predvsem z dejavnostmi zaposlovanja</t>
  </si>
  <si>
    <t>Número total de trabalhadores temporários fornecidos por empresas principalmente envolvidas em atividades de emprego</t>
  </si>
  <si>
    <t>Undertaking has a code of conduct or human rights policy for its own workforce</t>
  </si>
  <si>
    <t>Virksomheden har en adfærdskodeks eller menneskerettighedspolitik for sin egen arbejdsstyrke</t>
  </si>
  <si>
    <t>De onderneming beschikt over een gedragscode of een mensenrechtenbeleid voor haar eigen personeel</t>
  </si>
  <si>
    <t>L’entreprise dispose d’un code de conduite ou d’une politique en matière de droits de l’homme pour son personnel</t>
  </si>
  <si>
    <t>Das Unternehmen verfügt über einen Verhaltenskodex oder Richtlinien für die Achtung der Menschenrechte bei seinen eigenen Arbeitskräften</t>
  </si>
  <si>
    <t>Cód iompair nó beartas um chearta an duine ag an ngnóthas dá lucht saothair féin</t>
  </si>
  <si>
    <t>Įmonė turi elgesio kodeksą arba žmogaus teisių politiką savo darbuotojams</t>
  </si>
  <si>
    <t>Jednostka posiada kodeks postępowania lub politykę dotyczącą praw człowieka dla własnych pracowników</t>
  </si>
  <si>
    <t>Podjetje ima kodeks ravnanja ali politiko na področju človekovih pravic za lastno delovno silo</t>
  </si>
  <si>
    <t>A empresa dispõe de um código de conduta ou de uma política de direitos humanos para a sua própria mão-de-obra</t>
  </si>
  <si>
    <t>Type of content covered by the code of conduct or human rights policy for its own workforce</t>
  </si>
  <si>
    <t>Type af indhold omfattet af adfærdskodeks eller menneskerettighedspolitik for egen arbejdsstyrke</t>
  </si>
  <si>
    <t>Type inhoud die wordt bestreken door de gedragscode of het mensenrechtenbeleid voor het eigen personeel</t>
  </si>
  <si>
    <t>Type de contenu couvert par le code de conduite ou la politique en matière de droits de l’homme pour son personnel</t>
  </si>
  <si>
    <t>Art des Inhalts, der vom Verhaltenskodex oder den Richtlinien für die Achtung der Menschenrechte bei den eigenen Arbeitskräften abgedeckt ist</t>
  </si>
  <si>
    <t>Cineál ábhair a chlúdaítear faoin gcód iompair nó beartas um chearta an duine ag an ngnóthas dá lucht saothair féin</t>
  </si>
  <si>
    <t>Tipologia di contenuti coperti dal codice di condotta o dalla politica in materia di diritti umani per la forza lavoro propria</t>
  </si>
  <si>
    <t>Koks turinys  apimamas elgesio kodekso ar žmogaus teisių politikos darbuotojams</t>
  </si>
  <si>
    <t>Rodzaj treści objętych kodeksem postępowania lub polityką dotyczącą praw człowieka wobec własnych zasobów pracowniczych</t>
  </si>
  <si>
    <t>Tipo de contenido cubierto por el código de conducta o la política de derechos humanos para su personal propio</t>
  </si>
  <si>
    <t>Vrsta vsebine, ki jo zajema kodeks ravnanja ali politika na področju človekovih pravic za lastno delovno silo</t>
  </si>
  <si>
    <t>Tipo de conteúdo abrangido pelo código de conduta ou pela política de direitos humanos para a sua própria mão-de-obra</t>
  </si>
  <si>
    <t>Specification other types of content covered by the code of conduct or human rights policy</t>
  </si>
  <si>
    <t>Specifikation af andre typer indhold, der er omfattet af adfærdskodeks eller menneskerettighedspolitik</t>
  </si>
  <si>
    <t>Specificatie van andere typen inhoud die onder de gedragscode of mensenrechtenbeleid vallen</t>
  </si>
  <si>
    <t>Spécification des autres types de contenu couverts par le code de conduite ou la politique en matière de droits de l’homme</t>
  </si>
  <si>
    <t>Erläuterung anderer Arten von Inhalten, die vom Verhaltenskodex oder den Richtlinien für die Achtung der Menschenrechte bei den eigenen Arbeitskräften abgedeckt sind</t>
  </si>
  <si>
    <t>Sonraíocht cineálacha eile ábhar atá clúdaithe ag an gcód iompair nó beartas um chearta an duine</t>
  </si>
  <si>
    <t>Specifica altri tipi di contenuto coperti dal codice di condotta o dalla politica in materia di diritti umani</t>
  </si>
  <si>
    <t>Nurodykite papildomą turinį, kurį apima elgesio kodeksas / žmogaus teisių politika</t>
  </si>
  <si>
    <t>Specyfikacja innych rodzajów treści objętych kodeksem postępowania lub polityką dotyczącą praw człowieka</t>
  </si>
  <si>
    <t>Especificación de otros tipos de contenido cubiertos por el código de conducta o la política de derechos humanos</t>
  </si>
  <si>
    <t>Navedba drugih vrst vsebin, ki jih zajema kodeks ravnanja ali politika na področju človekovih pravic</t>
  </si>
  <si>
    <t>Especificação de outros tipos de conteúdo abrangidos pelo código de conduta ou política de direitos humanos</t>
  </si>
  <si>
    <t>Undertaking has a complaint handling mechanism for its own workforce</t>
  </si>
  <si>
    <t>Virksomheden har en mekanisme til behandling af klager fra sin egen arbejdsstyrke</t>
  </si>
  <si>
    <t>De onderneming heeft een klachtenbehandelingsmechanisme voor haar eigen personeel.</t>
  </si>
  <si>
    <t xml:space="preserve">L’entreprise dispose d’un mécanisme de traitement des plaintes pour son personnel </t>
  </si>
  <si>
    <t>Das Unternehmen verfügt über ein Verfahren zur Bearbeitung von Beschwerden der eigenen Arbeitskräfte</t>
  </si>
  <si>
    <t>Tá sásra láimhsithe gearán ag an ngnóthas dá lucht saothair féin</t>
  </si>
  <si>
    <t>Įmonėje veikia skundų nagrinėjimo mechanizmas jos darbuotojams</t>
  </si>
  <si>
    <t>Jednostka posiada mechanizm rozpatrywania skarg dla własnych zasobów pracowniczych</t>
  </si>
  <si>
    <t>Podjetje ima mehanizem za obravnavanje pritožb lastne delovne sile</t>
  </si>
  <si>
    <t>A empresa possui um mecanismo de tratamento de reclamações para a sua própria mão-de-obra</t>
  </si>
  <si>
    <t>Undertaking has confirmed human rights incidents in its own workforce</t>
  </si>
  <si>
    <t>Virksomheden har bekræftede negative hændelser relateret til menneskerettigheder i sin egen arbejdsstyrke</t>
  </si>
  <si>
    <t xml:space="preserve">De onderneming heeft incidenten met betrekking tot mensenrechten bevestigd binnen haar eigen personeel. 
</t>
  </si>
  <si>
    <t>L’entreprise a confirmé des incidents en matière de droits de l’homme au sein de son personnel</t>
  </si>
  <si>
    <t>Das Unternehmen hat bestätigte Vorfälle im Zusammenhang mit Menschenrechten bei seinen eigenen Arbeitskräften.</t>
  </si>
  <si>
    <t>Teagmhais dheimhnithe ag an ngnóthas dá lucht saothair féin</t>
  </si>
  <si>
    <t>L'impresa ha confermato incidenti in seno alla forza lavoro propria relativi a violazioni dei diritti umani.</t>
  </si>
  <si>
    <t>Patvirtinti žmogaus teisių pažeidimų incidentai įmonės darbuotojų tarpe</t>
  </si>
  <si>
    <t>Jednostka potwierdziła incydenty naruszeń praw człowieka wśród własnych zasobów pracowniczych</t>
  </si>
  <si>
    <t>La entidad ha confirmado incidentes de derechos humanos en su personal propio.</t>
  </si>
  <si>
    <t>Podjetje ima potrjene incidente na področju človekovih pravic lastne delovne sile</t>
  </si>
  <si>
    <t>A entidade confirmou incidentes de direitos humanos na sua própria mão-de-obra</t>
  </si>
  <si>
    <t>Type of human right related to the confirmed incident</t>
  </si>
  <si>
    <t xml:space="preserve">
Type af menneskerettighed relateret til den bekræftede hændelse
</t>
  </si>
  <si>
    <t>Soort mensenrecht gerelateerd aan het bevestigde incident</t>
  </si>
  <si>
    <t>Type de droit de l'homme auquel se rattache l'incident confirmé</t>
  </si>
  <si>
    <t>Art des Menschenrechts im Zusammenhang mit dem bestätigten Vorfall</t>
  </si>
  <si>
    <t>Cineál cearta daonna a bhaineann leis an eachtra deimhnithe</t>
  </si>
  <si>
    <t>Tipo di diritto umano relativo all’incidente confermato</t>
  </si>
  <si>
    <t>Žmogaus teisių sritis, kuriai priskiriamas patvirtintas incidentas</t>
  </si>
  <si>
    <t>Rodzaj prawa człowieka związany z potwierdzonym incydentem</t>
  </si>
  <si>
    <t>Tipo de derecho humano relacionado con el incidente confirmado</t>
  </si>
  <si>
    <t>Vrsta človekove pravice, povezane s potrjenim incidentom</t>
  </si>
  <si>
    <t>Tipo de direito humano relacionado ao incidente confirmado</t>
  </si>
  <si>
    <t>Specification of other human rights related to the confirmed incident</t>
  </si>
  <si>
    <t>Specifikation af andre menneskerettigheder relateret til den bekræftede hændelse</t>
  </si>
  <si>
    <t>Specificatie van andere mensenrechten gerelateerd aan het bevestigde incident</t>
  </si>
  <si>
    <t>Spécification des autres droits humains auxquels se rattache l'incident confirmé</t>
  </si>
  <si>
    <t>Angabe weiterer Menschenrechte im Zusammenhang mit dem bestätigten Vorfall</t>
  </si>
  <si>
    <t>Sonraíocht ar chearta eile an duine a bhaineann leis an teagmhas</t>
  </si>
  <si>
    <t>Specificazione di altri diritti umani relativi all'incidente confermato</t>
  </si>
  <si>
    <t>Kitos žmogaus teisės, susijusios su patvirtintu incidentu (nurodyti ir detalizuoti)</t>
  </si>
  <si>
    <t>Specyfikacja innych praw człowieka związanych z potwierdzonym incydentem</t>
  </si>
  <si>
    <t>Especificación de otros derechos humanos relacionados con el incidente confirmado</t>
  </si>
  <si>
    <t>Navedba drugih človekovih pravic, povezanih s potrjenim incidentom</t>
  </si>
  <si>
    <t xml:space="preserve">Especificação de outros direitos humanos relacionados com o incidente confirmado
</t>
  </si>
  <si>
    <t>Description of actions take to address the confirmed incidents</t>
  </si>
  <si>
    <t xml:space="preserve">Beskrivelse af de handlinger, der er truffet for at imødekomme de bekræftede hændelser
</t>
  </si>
  <si>
    <t>Beschrijving van de genomen acties ter aanpak van de bevestigde incidenten</t>
  </si>
  <si>
    <t>Tuairisc a thabhairt ar na gníomhartha a bhfuiltear á ndéanamh chun aghaidh a thabhairt ar na teagmhais deimhnithe</t>
  </si>
  <si>
    <t>Aprašymai, kokių veiksmų imtasi patvirtintiems incidentams spręsti</t>
  </si>
  <si>
    <t>Opis działań podjętych w celu zaradzenia potwierdzonym incydentom</t>
  </si>
  <si>
    <t>Descripción de las acciones tomadas para abordar los incidentes confirmados</t>
  </si>
  <si>
    <t>Undertaking aware of any confirmed incidents involving workers in the value chain, affected communities, consumers and end-users</t>
  </si>
  <si>
    <t>Virksomheden er bekendt med bekræftede hændelser, der involverer arbejdstagere i værdikæden, berørte lokalsamfund, forbrugere og slutbrugere</t>
  </si>
  <si>
    <t>Is de onderneming op de hoogte van bevestigde incidenten waarbij werknemers in de waardeketen, getroffen gemeenschappen, consumenten en eindgebruikers betrokken waren? Zo ja, licht toe.</t>
  </si>
  <si>
    <t>L’entreprise a connaissance d’incidents confirmés impliquant des travailleurs de la chaîne de valeur, des communautés affectées, des consommateurs et des utilisateurs finaux</t>
  </si>
  <si>
    <t>Dem Unternehmen sind bestätigte Vorfälle bekannt, an denen Arbeitskräfte in der Wertschöpfungskette, betroffene Gemeinschaften, Verbraucher und Endnutzer beteiligt sind</t>
  </si>
  <si>
    <t>An feasach don ghnóthas aon teagmhas deimhnithe lena mbaineann oibrithe sa slabhra luacha, pobail dá ndéantar difear, tomhaltóirí agus úsáideoirí deiridh?</t>
  </si>
  <si>
    <t>L'impresa è a conoscenza di incidenti confermati che coinvolgono lavoratori nella catena del valore, comunità interessate, consumatori e utilizzatori finali</t>
  </si>
  <si>
    <t>Įmonė, kuri žino apie bet kokius patvirtintus incidentus, susijusius su vertės grandinės darbuotojais, paveiktais bendruomenėmis, vartotojais ir galutiniais naudotojais</t>
  </si>
  <si>
    <t>Jednostka posiada wiedzę na temat potwierdzonych incydentówdotyczących osób wykonujących pracę w łańcuchu wartości, dotkniętych społeczności, konsumentów i użytkowników końcowych</t>
  </si>
  <si>
    <t xml:space="preserve">¿Tiene conocimiento la empresa de cualquier incidente confirmado en el que estén involucrados trabajadores de la cadena de valor, colectivos afectados, consumidores y usuarios finales? En caso afirmativo, especifíquese. 
</t>
  </si>
  <si>
    <t>Podjetje je seznanjeno z vsemi potrjenimi incidenti, v katere so vključeni delavci v vrednostni verigi, prizadete skupnosti, potrošniki in končni uporabniki</t>
  </si>
  <si>
    <t>Empresa ciente de quaisquer incidentes confirmados que envolvam trabalhadores da cadeia de valor, comunidades afetadas, consumidores e utilizadores finais</t>
  </si>
  <si>
    <t>Specification of any confirmed incident involving workers in the value chain, affected communities, consumers and end-users</t>
  </si>
  <si>
    <t>Specificering af enhver bekræftet hændelse, der involverer arbejdstagere i værdikæden, berørte lokalsamfund, forbrugere og slutbrugere</t>
  </si>
  <si>
    <t>Specificatie van elk bevestigd incident waarbij werknemers in de waardeketen, getroffen gemeenschappen, consumenten en eindgebruikers betrokken zijn geweest</t>
  </si>
  <si>
    <t>Spécification de tout incident confirmé impliquant des travailleurs dans la chaîne de valeur, des communautés affectées, des consommateurs et des utilisateurs finaux</t>
  </si>
  <si>
    <t>Sonraíocht ar aon teagmhas deimhnithe lena mbaineann oibrithe sa slabhra luacha, pobail dá ndéantar difear, tomhaltóirí agus úsáideoirí deiridh</t>
  </si>
  <si>
    <t>Specificazione di qualsiasi incidente confermato che coinvolge i lavoratori nella catena del valore, le comunità interessate, i consumatori e gli utilizzatori finali.</t>
  </si>
  <si>
    <t>Bet kurio patvirtinto incidento, susijusio su vertės grandinės darbuotojais, paveiktomis bendruomenėmis, vartotojais ir galutiniais naudotojais, aprašymas</t>
  </si>
  <si>
    <t>Navedba vseh potrjenih incidentov, v katere so vključeni delavci v vrednostni verigi, prizadete skupnosti, potrošniki in končni uporabniki</t>
  </si>
  <si>
    <t>Especificação de quaisquer incidentes confirmados envolvendo trabalhadores da cadeia de valor, comunidades afetadas, consumidores e utilizadores finais</t>
  </si>
  <si>
    <t xml:space="preserve">Revenue derived from controversial weapons (anti-personnel mines, cluster munitions, chemical weapons and biological weapons) </t>
  </si>
  <si>
    <t>Indægter fra kontroversielle våben (personelminer, klyngeammunition, kemiske våben og biologiske våben)</t>
  </si>
  <si>
    <t xml:space="preserve"> Inkomsten uit controversiële wapens (antipersoonsmijnen, clustermunitie, chemische wapens en biologische wapens)</t>
  </si>
  <si>
    <t>Ioncam a dhíorthaítear as airm chonspóideacha (mianaigh frithphearsanra, cnuas-mhuinisin, airm cheimiceacha agus airm 
bhitheolaíocha)</t>
  </si>
  <si>
    <t>Pajamos, gautos iš prieštaringai vertinamų ginklų (pėstininkų minų, kasetinių šaudmenų, cheminių ir biologinių ginklų).</t>
  </si>
  <si>
    <t>Rédito proveniente de armas controversas (minas anti-pessoais, munições de fragmentação, armas químicas e armas biológicas)</t>
  </si>
  <si>
    <t>Inkomsten uit de teelt en productie van tabak</t>
  </si>
  <si>
    <t>Ioncam a dhíorthaítear as saothrú agus táirgeadh tobac</t>
  </si>
  <si>
    <t>Ricavi derivanti dalla coltivazione e produzione del tabacco</t>
  </si>
  <si>
    <t>Pajamos iš tabako auginimo ir gamybos</t>
  </si>
  <si>
    <t>Los ingresos derivados del cultivo y la producción de tabaco</t>
  </si>
  <si>
    <t>Total revenues derived from fossil (fuel, coal and gas) sector</t>
  </si>
  <si>
    <t>Indtægter fra fossile brændstoffer (kul, olie og gas) sektor</t>
  </si>
  <si>
    <t>Totale inkomsten  uit de fossiele sector (olie, kolen en gas)</t>
  </si>
  <si>
    <t xml:space="preserve">	
Chiffre d'affaire total réalisé à partir du secteur des combustibles fossiles (charbon, pétrole et gaz)</t>
  </si>
  <si>
    <t>Gesamtumsatzerlöse aus dem Sektor der fossilen (Kohle, Erdöl und Erdgas) Brennstoffe</t>
  </si>
  <si>
    <t xml:space="preserve">Ioncam iomlán a dhíorthaítear ó earnáil an bhreosla iontaise (gual, ola agus gás) </t>
  </si>
  <si>
    <t>Ricavi totali derivanti dal settore dei combustibili fossili (carbone, petrolio e gas)</t>
  </si>
  <si>
    <t>Bendros pajamos, gautos iš iškastinio kuro (naftos, anglies ir dujų) sektoriaus</t>
  </si>
  <si>
    <t>Całkowite przychody z sektora paliw kopalnych (węgiel, ropa i gaz)</t>
  </si>
  <si>
    <t>Ingresos totales derivados del sector de combustibles fósiles (combustible, carbón y gas)</t>
  </si>
  <si>
    <t>Skupni prihodki iz sektorja fosilnih goriv (gorivo, premog in plin)</t>
  </si>
  <si>
    <t>Rendimentos totais provenientes do setor dos combustíveis fósseis (combustível, carvão e gás)</t>
  </si>
  <si>
    <t>Indtægter fra kul</t>
  </si>
  <si>
    <t>Ioncam a dhíorthaítear ó ghual</t>
  </si>
  <si>
    <t>Pajamos, gautos iš anglių</t>
  </si>
  <si>
    <t>Rédito proveniente do carvão</t>
  </si>
  <si>
    <t>Indtægter fra olie</t>
  </si>
  <si>
    <t>Ioncam a dhíorthaítear ó ola</t>
  </si>
  <si>
    <t>Rédito proveniente do petróleo</t>
  </si>
  <si>
    <t>Indtægter fra gas</t>
  </si>
  <si>
    <t xml:space="preserve">
Inkomsten uit gas
</t>
  </si>
  <si>
    <t>Ioncam a dhíorthaítear ó ghás</t>
  </si>
  <si>
    <t>Rédito proveniente do gás</t>
  </si>
  <si>
    <t>Revenue derived from chemical production</t>
  </si>
  <si>
    <t>Indtægter fra produktion af kemikalier</t>
  </si>
  <si>
    <t>Inkomsten uit  de chemische productie</t>
  </si>
  <si>
    <t>Ingresos derivados de la producción química</t>
  </si>
  <si>
    <t>Prihodki iz proizvodnje kemikalij</t>
  </si>
  <si>
    <t>Rédito proveniente da produção química</t>
  </si>
  <si>
    <t xml:space="preserve">Undertakings are excluded from any EU reference benchmarks that are aligned with the Paris Agreement </t>
  </si>
  <si>
    <t>Virksomheder er udelukket fra alle EU-referencebenchmarks, der er tilpasset Parisaftalen.</t>
  </si>
  <si>
    <t>Exclusion des indices de référence  « accord de Paris » de l'Union européenne</t>
  </si>
  <si>
    <t>Gnóthais a eisiatar ó na Tagarmharcanna AE atá ailínithe le Comhaontú Pháras</t>
  </si>
  <si>
    <t>Le imprese sono escluse dagli indici di riferimento UE allineati con l'accordo di Parigi.</t>
  </si>
  <si>
    <t>Įmonės yra pašalintos iš bet kokių ES lyginamųjų etalonų, suderintų su Paryžiaus susitarimu</t>
  </si>
  <si>
    <t>Las empresas están excluidas de cualquier índice de referencia de la UE que esté alineado con el Acuerdo de París.</t>
  </si>
  <si>
    <t>Podjetja so izključena iz vseh referenčnih vrednosti EU, usklajenih s Pariškim sporazumom</t>
  </si>
  <si>
    <t>Empresas excluídas de quaisquer índices de referência da UE que estejam alinhados com o Acordo de Paris</t>
  </si>
  <si>
    <t>Kønsfordeling i ledelsesorganet</t>
  </si>
  <si>
    <t>Genderdiversiteitsverhouding  in het bestuursorgaan</t>
  </si>
  <si>
    <t>Ratio de mixité au sein de l'organe de gouvernance</t>
  </si>
  <si>
    <t>Geschlechtervielfalt im Leitungsorgan</t>
  </si>
  <si>
    <t>Cóimheas éagsúlachta inscne sa chomhlacht rialachais</t>
  </si>
  <si>
    <t>Lyčių įvairovės rodiklis valdymo organe</t>
  </si>
  <si>
    <t>Izračun: število članic upravnega odbora / število članov upravnega odbora</t>
  </si>
  <si>
    <t>Disclosure of any other general and/or entity specific information</t>
  </si>
  <si>
    <t xml:space="preserve">Oplysning af øvrige generelle og/eller virksomhedsspecifik information
</t>
  </si>
  <si>
    <t xml:space="preserve"> Rapportage van alle overige algemene en/of entiteitspecifieke  informatie</t>
  </si>
  <si>
    <t>Publication de toute autre information générale et/ou spécifique à l’entité</t>
  </si>
  <si>
    <t>Angabe weiterer sonstiger allgemeiner und/oder unternehmensspezifischer Informationen</t>
  </si>
  <si>
    <t>Nochtadh aon fhaisnéis ghinearálta eile agus/nó a bhaineann go sonrach leis an ngnóthas</t>
  </si>
  <si>
    <t>Comunicazione di qualsiasi altra informazione generale e/o specifica per soggetto</t>
  </si>
  <si>
    <t>Kita bendroji / įmonei specifinė informacija</t>
  </si>
  <si>
    <t>Ujawnienie wszelkich innych informacji ogólnych i/lub specyficznych dla jednostki</t>
  </si>
  <si>
    <t>Divulgación de cualquier otra información general y/o específica de la entidad</t>
  </si>
  <si>
    <t>Razkritje vseh drugih splošnih in/ali za subjekt specifičnih informacij o obdobju poročanja</t>
  </si>
  <si>
    <t>Divulgação de quaisquer outras informações gerais e/ou específicas da empresa</t>
  </si>
  <si>
    <t>Disclosure of any other environmental and or/entity specific environmental disclosures</t>
  </si>
  <si>
    <t xml:space="preserve"> Rapportage van andere milieugerelateerde en/of entiteitspecifieke  milieurapportages</t>
  </si>
  <si>
    <t>Nochtadh aon nochtaí comhshaoil eile agus/nó comhshaoil sonrach don ghnóthas</t>
  </si>
  <si>
    <t>Razkritje vseh drugih okoljskih in/ali za subjekt specifičnih okoljskih razkritij</t>
  </si>
  <si>
    <t>Disclosure of any other social and or/entity specific social disclosures</t>
  </si>
  <si>
    <t xml:space="preserve">Oplysninger om andre sociale og/eller virksomhedsspecifikke sociale oplysninger </t>
  </si>
  <si>
    <t xml:space="preserve">
 Rapportage van andere sociale en/of entiteitspecifieke sociale rapportages
</t>
  </si>
  <si>
    <t>Razkritje vseh drugih socialnih in/ali za subjekt specifičnih socialnih razkritij</t>
  </si>
  <si>
    <t>Disclosure of any other governance and or/entity specific governance disclosures</t>
  </si>
  <si>
    <t>Razkritje vseh drugih upravljavskih in/ali za subjekt specifičnih upravljavskih razkritij</t>
  </si>
  <si>
    <t>Contratto permanente</t>
  </si>
  <si>
    <t>divulgación de cualquier otra información general y/o específica de la entidad</t>
  </si>
  <si>
    <t>disclosure of any other general and/or entity specific information on the reporting period</t>
  </si>
  <si>
    <t>oplysning af øvrige generelle og/eller virksomhedsspecifik information</t>
  </si>
  <si>
    <t>rapportage van alle overige algemene en/of entiteitspecifieke  informatie</t>
  </si>
  <si>
    <t>publication de toute autre information générale et/ou spécifique à l’entité</t>
  </si>
  <si>
    <t>angabe weiterer sonstiger allgemeiner und/oder unternehmensspezifischer Informationen</t>
  </si>
  <si>
    <t>nochtadh aon fhaisnéis ghinearálta eile agus/nó a bhaineann go sonrach leis an ngnóthas</t>
  </si>
  <si>
    <t>comunicazione di qualsiasi altra informazione generale e/o specifica per soggetto</t>
  </si>
  <si>
    <t>kita bendroji / įmonei specifinė informacija</t>
  </si>
  <si>
    <t>ujawnienie wszelkich innych informacji ogólnych i/lub specyficznych dla jednostki</t>
  </si>
  <si>
    <t>divulgação de quaisquer outras informações gerais e/ou específicas da empresa</t>
  </si>
  <si>
    <t>razkritje vseh drugih splošnih in/ali za subjekt specifičnih informacij o obdobju poročanja</t>
  </si>
  <si>
    <t>template_label_introduction</t>
  </si>
  <si>
    <t>Introduction</t>
  </si>
  <si>
    <t>Indførelsen</t>
  </si>
  <si>
    <t>Inleiding</t>
  </si>
  <si>
    <t>Einleitung</t>
  </si>
  <si>
    <t>Réamhrá</t>
  </si>
  <si>
    <t>Introduzione</t>
  </si>
  <si>
    <t>Įvadas</t>
  </si>
  <si>
    <t>Wprowadzenie</t>
  </si>
  <si>
    <t>Introdução</t>
  </si>
  <si>
    <t>Uvod</t>
  </si>
  <si>
    <t>Introducción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</si>
</sst>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numFmt numFmtId="165" formatCode="0.0000"/>
    <numFmt numFmtId="166" formatCode="0.000000000"/>
    <numFmt numFmtId="167" formatCode="0.0000000000000000000"/>
    <numFmt numFmtId="168" formatCode="0.000000000000"/>
    <numFmt numFmtId="169" formatCode="0.000000000000000000000"/>
    <numFmt numFmtId="170" formatCode="0.0000000"/>
    <numFmt numFmtId="171" formatCode="0.0000000000000"/>
  </numFmts>
  <fonts count="49"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i/>
      <sz val="11"/>
      <color theme="1"/>
      <name val="Aptos Narrow"/>
      <family val="2"/>
      <scheme val="minor"/>
    </font>
    <font>
      <i/>
      <sz val="9"/>
      <color theme="1"/>
      <name val="Aptos Narrow"/>
      <family val="2"/>
      <scheme val="minor"/>
    </font>
    <font>
      <u/>
      <sz val="11"/>
      <color theme="10"/>
      <name val="Aptos Narrow"/>
      <family val="2"/>
      <scheme val="minor"/>
    </font>
    <font>
      <b/>
      <sz val="11"/>
      <name val="Aptos Narrow"/>
      <family val="2"/>
      <scheme val="minor"/>
    </font>
    <font>
      <b/>
      <sz val="11"/>
      <name val="Calibri"/>
      <family val="2"/>
    </font>
    <font>
      <sz val="11"/>
      <name val="Aptos Narrow"/>
      <family val="2"/>
      <scheme val="minor"/>
    </font>
    <font>
      <i/>
      <sz val="11"/>
      <name val="Aptos Narrow"/>
      <family val="2"/>
      <scheme val="minor"/>
    </font>
    <font>
      <u/>
      <sz val="11"/>
      <name val="Aptos Narrow"/>
      <family val="2"/>
      <scheme val="minor"/>
    </font>
    <font>
      <i/>
      <u/>
      <sz val="11"/>
      <name val="Aptos Narrow"/>
      <family val="2"/>
      <scheme val="minor"/>
    </font>
    <font>
      <sz val="11"/>
      <color theme="1"/>
      <name val="Aptos Narrow"/>
      <family val="2"/>
    </font>
    <font>
      <b/>
      <sz val="16"/>
      <color theme="1"/>
      <name val="Aptos Narrow"/>
      <family val="2"/>
    </font>
    <font>
      <sz val="48"/>
      <color theme="1"/>
      <name val="Aptos Narrow"/>
      <family val="2"/>
      <scheme val="minor"/>
    </font>
    <font>
      <sz val="10"/>
      <color theme="1"/>
      <name val="Aptos Narrow"/>
      <family val="2"/>
      <scheme val="minor"/>
    </font>
    <font>
      <sz val="11"/>
      <color rgb="FF1B1B1B"/>
      <name val="Aptos Narrow"/>
      <family val="2"/>
      <scheme val="minor"/>
    </font>
    <font>
      <sz val="14"/>
      <color theme="1"/>
      <name val="Aptos Narrow"/>
      <family val="2"/>
      <scheme val="minor"/>
    </font>
    <font>
      <sz val="16"/>
      <color theme="1"/>
      <name val="Aptos Narrow"/>
      <family val="2"/>
      <scheme val="minor"/>
    </font>
    <font>
      <b/>
      <sz val="11"/>
      <color theme="1"/>
      <name val="Aptos Narrow"/>
      <family val="2"/>
    </font>
    <font>
      <b/>
      <sz val="11"/>
      <color rgb="FFFF0000"/>
      <name val="Aptos Narrow"/>
      <family val="2"/>
      <scheme val="minor"/>
    </font>
    <font>
      <sz val="20"/>
      <color theme="1"/>
      <name val="Aptos Narrow"/>
      <family val="2"/>
      <scheme val="minor"/>
    </font>
    <font>
      <i/>
      <sz val="11"/>
      <color theme="1"/>
      <name val="Aptos Narrow"/>
      <family val="2"/>
    </font>
    <font>
      <b/>
      <i/>
      <sz val="11"/>
      <color theme="1"/>
      <name val="Aptos Narrow"/>
      <family val="2"/>
      <scheme val="minor"/>
    </font>
    <font>
      <i/>
      <sz val="10"/>
      <color theme="1"/>
      <name val="Aptos Narrow"/>
      <family val="2"/>
      <scheme val="minor"/>
    </font>
    <font>
      <b/>
      <sz val="16"/>
      <color theme="1"/>
      <name val="Aptos Narrow"/>
      <family val="2"/>
      <scheme val="minor"/>
    </font>
    <font>
      <u/>
      <sz val="16"/>
      <color theme="1"/>
      <name val="Aptos Narrow"/>
      <family val="2"/>
      <scheme val="minor"/>
    </font>
    <font>
      <b/>
      <sz val="12"/>
      <color rgb="FF242424"/>
      <name val="Aptos"/>
      <family val="2"/>
    </font>
    <font>
      <sz val="11"/>
      <name val="Calibri"/>
      <family val="2"/>
    </font>
    <font>
      <b/>
      <u/>
      <sz val="11"/>
      <color rgb="FF0070C0"/>
      <name val="Aptos Narrow"/>
      <family val="2"/>
      <scheme val="minor"/>
    </font>
    <font>
      <sz val="16"/>
      <color rgb="FF242424"/>
      <name val="Aptos"/>
      <family val="2"/>
    </font>
    <font>
      <sz val="11"/>
      <color theme="10"/>
      <name val="Aptos Narrow"/>
      <family val="2"/>
      <scheme val="minor"/>
    </font>
    <font>
      <b/>
      <sz val="14"/>
      <color theme="1"/>
      <name val="Aptos Narrow"/>
      <family val="2"/>
      <scheme val="minor"/>
    </font>
    <font>
      <b/>
      <sz val="24"/>
      <color theme="1"/>
      <name val="Aptos Narrow"/>
      <family val="2"/>
      <scheme val="minor"/>
    </font>
    <font>
      <i/>
      <sz val="14"/>
      <color theme="1"/>
      <name val="Aptos Narrow"/>
      <family val="2"/>
      <scheme val="minor"/>
    </font>
    <font>
      <u/>
      <sz val="11"/>
      <color rgb="FF0070C0"/>
      <name val="Aptos Narrow"/>
      <family val="2"/>
      <scheme val="minor"/>
    </font>
    <font>
      <i/>
      <sz val="11"/>
      <color theme="10"/>
      <name val="Aptos Narrow"/>
      <family val="2"/>
      <scheme val="minor"/>
    </font>
    <font>
      <sz val="11"/>
      <color rgb="FF000000"/>
      <name val="Aptos Narrow"/>
      <family val="2"/>
      <scheme val="minor"/>
    </font>
    <font>
      <u/>
      <sz val="11"/>
      <color theme="7" tint="-0.249977111117893"/>
      <name val="Aptos Narrow"/>
      <family val="2"/>
      <scheme val="minor"/>
    </font>
    <font>
      <b/>
      <sz val="18"/>
      <color theme="1"/>
      <name val="Aptos Narrow"/>
      <family val="2"/>
      <scheme val="minor"/>
    </font>
    <font>
      <b/>
      <sz val="28"/>
      <color theme="1"/>
      <name val="Aptos Narrow"/>
      <family val="2"/>
      <scheme val="minor"/>
    </font>
    <font>
      <b/>
      <sz val="72"/>
      <color theme="1"/>
      <name val="Aptos Narrow"/>
      <family val="2"/>
      <scheme val="minor"/>
    </font>
    <font>
      <b/>
      <sz val="48"/>
      <color theme="1"/>
      <name val="Aptos Narrow"/>
      <family val="2"/>
      <scheme val="minor"/>
    </font>
    <font>
      <b/>
      <sz val="10"/>
      <color theme="1"/>
      <name val="Aptos Narrow"/>
      <family val="2"/>
      <scheme val="minor"/>
    </font>
    <font>
      <b/>
      <sz val="28"/>
      <color theme="1"/>
      <name val="Symbol"/>
      <family val="1"/>
      <charset val="2"/>
    </font>
    <font>
      <sz val="15"/>
      <color theme="1"/>
      <name val="Aptos Narrow"/>
      <family val="2"/>
      <scheme val="minor"/>
    </font>
    <font>
      <b/>
      <u/>
      <sz val="14"/>
      <color theme="1"/>
      <name val="Aptos Narrow"/>
      <family val="2"/>
      <scheme val="minor"/>
    </font>
    <font>
      <b/>
      <sz val="24"/>
      <color theme="1"/>
      <name val="Symbol"/>
      <family val="1"/>
      <charset val="2"/>
    </font>
  </fonts>
  <fills count="27">
    <fill>
      <patternFill patternType="none"/>
    </fill>
    <fill>
      <patternFill patternType="gray125"/>
    </fill>
    <fill>
      <patternFill patternType="solid">
        <fgColor theme="0" tint="-0.14996795556505021"/>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rgb="FFB5E6A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E97132"/>
        <bgColor indexed="64"/>
      </patternFill>
    </fill>
    <fill>
      <patternFill patternType="solid">
        <fgColor rgb="FFF7F7CB"/>
        <bgColor indexed="64"/>
      </patternFill>
    </fill>
    <fill>
      <patternFill patternType="solid">
        <fgColor theme="0" tint="-0.499984740745262"/>
        <bgColor indexed="64"/>
      </patternFill>
    </fill>
    <fill>
      <patternFill patternType="solid">
        <fgColor theme="2"/>
        <bgColor indexed="64"/>
      </patternFill>
    </fill>
    <fill>
      <patternFill patternType="solid">
        <fgColor rgb="FFFFFF99"/>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1"/>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diagonalUp="1" diagonalDown="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medium">
        <color indexed="64"/>
      </top>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medium">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ck">
        <color indexed="64"/>
      </right>
      <top style="thick">
        <color indexed="64"/>
      </top>
      <bottom style="thick">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medium">
        <color indexed="64"/>
      </top>
      <bottom style="medium">
        <color indexed="64"/>
      </bottom>
      <diagonal/>
    </border>
    <border diagonalUp="1" diagonalDown="1">
      <left style="medium">
        <color indexed="64"/>
      </left>
      <right style="thin">
        <color indexed="64"/>
      </right>
      <top style="thin">
        <color indexed="64"/>
      </top>
      <bottom style="thin">
        <color indexed="64"/>
      </bottom>
      <diagonal style="thin">
        <color indexed="64"/>
      </diagonal>
    </border>
    <border diagonalUp="1" diagonalDown="1">
      <left style="medium">
        <color indexed="64"/>
      </left>
      <right style="thin">
        <color indexed="64"/>
      </right>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medium">
        <color indexed="64"/>
      </right>
      <top style="medium">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2" fontId="1" fillId="2" borderId="1"/>
    <xf numFmtId="0" fontId="6" fillId="0" borderId="0" applyNumberFormat="0" applyFill="0" applyBorder="0" applyAlignment="0" applyProtection="0"/>
  </cellStyleXfs>
  <cellXfs count="1230">
    <xf numFmtId="0" fontId="0" fillId="0" borderId="0" xfId="0"/>
    <xf numFmtId="0" fontId="0" fillId="0" borderId="1" xfId="0" applyBorder="1"/>
    <xf numFmtId="0" fontId="0" fillId="0" borderId="0" xfId="0" applyAlignment="1">
      <alignment wrapText="1"/>
    </xf>
    <xf numFmtId="0" fontId="0" fillId="0" borderId="6" xfId="0" applyBorder="1"/>
    <xf numFmtId="0" fontId="0" fillId="0" borderId="18" xfId="0" applyBorder="1"/>
    <xf numFmtId="0" fontId="0" fillId="0" borderId="19" xfId="0" applyBorder="1"/>
    <xf numFmtId="0" fontId="2" fillId="0" borderId="1" xfId="0" applyFont="1" applyBorder="1" applyAlignment="1">
      <alignment horizontal="center" vertical="center"/>
    </xf>
    <xf numFmtId="0" fontId="0" fillId="0" borderId="2" xfId="0" applyBorder="1"/>
    <xf numFmtId="0" fontId="0" fillId="0" borderId="25" xfId="0" applyBorder="1"/>
    <xf numFmtId="0" fontId="0" fillId="0" borderId="0" xfId="0" applyAlignment="1">
      <alignment horizontal="left" vertical="top"/>
    </xf>
    <xf numFmtId="0" fontId="0" fillId="7" borderId="0" xfId="0" applyFill="1"/>
    <xf numFmtId="0" fontId="2" fillId="0" borderId="0" xfId="0" applyFont="1" applyAlignment="1">
      <alignment horizontal="center" vertical="center" wrapText="1"/>
    </xf>
    <xf numFmtId="0" fontId="0" fillId="0" borderId="22" xfId="0" applyBorder="1"/>
    <xf numFmtId="0" fontId="0" fillId="0" borderId="30" xfId="0" applyBorder="1"/>
    <xf numFmtId="0" fontId="0" fillId="0" borderId="29" xfId="0" applyBorder="1"/>
    <xf numFmtId="0" fontId="2" fillId="7" borderId="0" xfId="0"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7" borderId="0" xfId="0" applyFont="1" applyFill="1" applyAlignment="1">
      <alignment horizontal="center"/>
    </xf>
    <xf numFmtId="0" fontId="0" fillId="7" borderId="0" xfId="0" applyFill="1" applyAlignment="1">
      <alignment horizontal="center" vertical="center"/>
    </xf>
    <xf numFmtId="2" fontId="1" fillId="13" borderId="58" xfId="2" applyFill="1" applyBorder="1" applyAlignment="1">
      <alignment horizontal="center" vertical="center"/>
    </xf>
    <xf numFmtId="0" fontId="2" fillId="0" borderId="71" xfId="0" applyFont="1" applyBorder="1"/>
    <xf numFmtId="0" fontId="2" fillId="0" borderId="71" xfId="0" applyFont="1" applyBorder="1" applyAlignment="1">
      <alignment horizontal="center" vertical="center" wrapText="1"/>
    </xf>
    <xf numFmtId="0" fontId="2" fillId="0" borderId="74" xfId="0" applyFont="1" applyBorder="1" applyAlignment="1">
      <alignment vertical="center" wrapText="1"/>
    </xf>
    <xf numFmtId="168" fontId="0" fillId="0" borderId="40" xfId="0" applyNumberFormat="1" applyBorder="1" applyAlignment="1">
      <alignment vertical="center" wrapText="1"/>
    </xf>
    <xf numFmtId="168" fontId="0" fillId="0" borderId="6" xfId="0" applyNumberFormat="1" applyBorder="1" applyAlignment="1">
      <alignment vertical="center" wrapText="1"/>
    </xf>
    <xf numFmtId="168" fontId="0" fillId="0" borderId="44" xfId="0" applyNumberFormat="1" applyBorder="1" applyAlignment="1">
      <alignment vertical="center" wrapText="1"/>
    </xf>
    <xf numFmtId="0" fontId="2" fillId="0" borderId="71" xfId="0" applyFont="1" applyBorder="1" applyAlignment="1">
      <alignment vertical="center" wrapText="1"/>
    </xf>
    <xf numFmtId="168" fontId="0" fillId="0" borderId="4" xfId="0" applyNumberFormat="1" applyBorder="1" applyAlignment="1">
      <alignment vertical="center" wrapText="1"/>
    </xf>
    <xf numFmtId="168" fontId="0" fillId="0" borderId="1" xfId="0" applyNumberFormat="1" applyBorder="1" applyAlignment="1">
      <alignment vertical="center" wrapText="1"/>
    </xf>
    <xf numFmtId="168" fontId="0" fillId="0" borderId="11" xfId="0" applyNumberFormat="1" applyBorder="1" applyAlignment="1">
      <alignment vertical="center" wrapText="1"/>
    </xf>
    <xf numFmtId="168" fontId="0" fillId="0" borderId="13" xfId="0" applyNumberFormat="1" applyBorder="1" applyAlignment="1">
      <alignment vertical="center" wrapText="1"/>
    </xf>
    <xf numFmtId="168" fontId="0" fillId="0" borderId="20" xfId="0" applyNumberFormat="1" applyBorder="1" applyAlignment="1">
      <alignment vertical="center" wrapText="1"/>
    </xf>
    <xf numFmtId="168" fontId="0" fillId="0" borderId="14" xfId="0" applyNumberFormat="1" applyBorder="1" applyAlignment="1">
      <alignment vertical="center" wrapText="1"/>
    </xf>
    <xf numFmtId="0" fontId="0" fillId="0" borderId="0" xfId="0" quotePrefix="1"/>
    <xf numFmtId="169" fontId="0" fillId="0" borderId="1" xfId="0" applyNumberFormat="1" applyBorder="1" applyAlignment="1">
      <alignment vertical="center" wrapText="1"/>
    </xf>
    <xf numFmtId="169" fontId="0" fillId="0" borderId="4" xfId="0" applyNumberFormat="1" applyBorder="1" applyAlignment="1">
      <alignment vertical="center" wrapText="1"/>
    </xf>
    <xf numFmtId="169" fontId="0" fillId="0" borderId="40" xfId="0" applyNumberFormat="1" applyBorder="1" applyAlignment="1">
      <alignment vertical="center" wrapText="1"/>
    </xf>
    <xf numFmtId="169" fontId="0" fillId="0" borderId="6" xfId="0" applyNumberFormat="1" applyBorder="1" applyAlignment="1">
      <alignment vertical="center" wrapText="1"/>
    </xf>
    <xf numFmtId="169" fontId="0" fillId="0" borderId="1" xfId="0" applyNumberFormat="1" applyBorder="1"/>
    <xf numFmtId="169" fontId="0" fillId="0" borderId="4" xfId="0" applyNumberFormat="1" applyBorder="1"/>
    <xf numFmtId="169" fontId="0" fillId="0" borderId="6" xfId="0" applyNumberFormat="1" applyBorder="1"/>
    <xf numFmtId="169" fontId="0" fillId="0" borderId="44" xfId="0" applyNumberFormat="1" applyBorder="1"/>
    <xf numFmtId="169" fontId="0" fillId="0" borderId="11" xfId="0" applyNumberFormat="1" applyBorder="1"/>
    <xf numFmtId="0" fontId="0" fillId="7" borderId="25" xfId="0" applyFill="1" applyBorder="1"/>
    <xf numFmtId="0" fontId="0" fillId="0" borderId="46" xfId="0" applyBorder="1"/>
    <xf numFmtId="14" fontId="0" fillId="0" borderId="0" xfId="0" applyNumberFormat="1"/>
    <xf numFmtId="0" fontId="2" fillId="0" borderId="11" xfId="0" applyFont="1" applyBorder="1" applyAlignment="1">
      <alignment horizontal="center" vertical="center" wrapText="1"/>
    </xf>
    <xf numFmtId="0" fontId="0" fillId="0" borderId="73" xfId="0" applyBorder="1"/>
    <xf numFmtId="0" fontId="0" fillId="0" borderId="39" xfId="0" applyBorder="1"/>
    <xf numFmtId="0" fontId="0" fillId="0" borderId="11" xfId="0" applyBorder="1" applyAlignment="1" applyProtection="1">
      <alignment horizontal="left"/>
      <protection locked="0"/>
    </xf>
    <xf numFmtId="0" fontId="0" fillId="0" borderId="11" xfId="0" applyBorder="1" applyAlignment="1" applyProtection="1">
      <alignment vertical="center"/>
      <protection locked="0"/>
      <extLst>
        <ext xmlns:xfpb="http://schemas.microsoft.com/office/spreadsheetml/2022/featurepropertybag" uri="{C7286773-470A-42A8-94C5-96B5CB345126}">
          <xfpb:xfComplement i="0"/>
        </ext>
      </extLst>
    </xf>
    <xf numFmtId="0" fontId="0" fillId="6" borderId="11" xfId="0" applyFill="1" applyBorder="1" applyAlignment="1" applyProtection="1">
      <alignment horizontal="center" vertical="center" wrapText="1"/>
      <protection locked="0"/>
    </xf>
    <xf numFmtId="0" fontId="0" fillId="6" borderId="51" xfId="0" applyFill="1" applyBorder="1" applyAlignment="1" applyProtection="1">
      <alignment horizontal="center" vertical="center" wrapText="1"/>
      <protection locked="0"/>
    </xf>
    <xf numFmtId="0" fontId="0" fillId="0" borderId="11" xfId="0" applyBorder="1" applyAlignment="1" applyProtection="1">
      <alignment horizontal="right" vertical="center" wrapText="1"/>
      <protection locked="0"/>
    </xf>
    <xf numFmtId="0" fontId="0" fillId="0" borderId="11" xfId="0" applyBorder="1" applyAlignment="1" applyProtection="1">
      <alignment horizontal="right" wrapText="1"/>
      <protection locked="0"/>
    </xf>
    <xf numFmtId="0" fontId="0" fillId="6" borderId="11" xfId="0" applyFill="1" applyBorder="1" applyAlignment="1" applyProtection="1">
      <alignment horizontal="right"/>
      <protection locked="0"/>
    </xf>
    <xf numFmtId="2" fontId="0" fillId="0" borderId="11" xfId="0" applyNumberFormat="1" applyBorder="1" applyAlignment="1" applyProtection="1">
      <alignment horizontal="right" wrapText="1"/>
      <protection locked="0"/>
    </xf>
    <xf numFmtId="2" fontId="0" fillId="0" borderId="11" xfId="0" applyNumberFormat="1" applyBorder="1" applyAlignment="1" applyProtection="1">
      <alignment horizontal="right"/>
      <protection locked="0"/>
    </xf>
    <xf numFmtId="0" fontId="0" fillId="0" borderId="14" xfId="0" applyBorder="1" applyAlignment="1" applyProtection="1">
      <alignment horizontal="right" wrapText="1"/>
      <protection locked="0"/>
    </xf>
    <xf numFmtId="0" fontId="0" fillId="6" borderId="14" xfId="0" applyFill="1" applyBorder="1" applyProtection="1">
      <protection locked="0"/>
    </xf>
    <xf numFmtId="0" fontId="0" fillId="6" borderId="43" xfId="0" applyFill="1" applyBorder="1" applyProtection="1">
      <protection locked="0"/>
    </xf>
    <xf numFmtId="0" fontId="0" fillId="6" borderId="44" xfId="0" applyFill="1" applyBorder="1" applyProtection="1">
      <protection locked="0"/>
    </xf>
    <xf numFmtId="0" fontId="0" fillId="6" borderId="2" xfId="0" applyFill="1" applyBorder="1" applyProtection="1">
      <protection locked="0"/>
    </xf>
    <xf numFmtId="0" fontId="0" fillId="6" borderId="11" xfId="0" applyFill="1" applyBorder="1" applyProtection="1">
      <protection locked="0"/>
    </xf>
    <xf numFmtId="0" fontId="0" fillId="6" borderId="37" xfId="0" applyFill="1" applyBorder="1" applyProtection="1">
      <protection locked="0"/>
    </xf>
    <xf numFmtId="0" fontId="0" fillId="0" borderId="1" xfId="0" applyBorder="1" applyProtection="1">
      <protection locked="0"/>
    </xf>
    <xf numFmtId="49" fontId="0" fillId="0" borderId="1" xfId="0" applyNumberFormat="1" applyBorder="1" applyAlignment="1" applyProtection="1">
      <alignment horizontal="left"/>
      <protection locked="0"/>
    </xf>
    <xf numFmtId="0" fontId="0" fillId="0" borderId="2" xfId="0" applyBorder="1" applyAlignment="1" applyProtection="1">
      <alignment wrapText="1"/>
      <protection locked="0"/>
    </xf>
    <xf numFmtId="0" fontId="0" fillId="0" borderId="6" xfId="0" applyBorder="1" applyProtection="1">
      <protection locked="0"/>
    </xf>
    <xf numFmtId="49" fontId="0" fillId="0" borderId="6" xfId="0" applyNumberFormat="1" applyBorder="1" applyAlignment="1" applyProtection="1">
      <alignment horizontal="left"/>
      <protection locked="0"/>
    </xf>
    <xf numFmtId="0" fontId="0" fillId="0" borderId="43" xfId="0" applyBorder="1" applyAlignment="1" applyProtection="1">
      <alignment wrapText="1"/>
      <protection locked="0"/>
    </xf>
    <xf numFmtId="0" fontId="0" fillId="0" borderId="20" xfId="0" applyBorder="1" applyProtection="1">
      <protection locked="0"/>
    </xf>
    <xf numFmtId="49" fontId="0" fillId="0" borderId="20" xfId="0" applyNumberFormat="1" applyBorder="1" applyAlignment="1" applyProtection="1">
      <alignment horizontal="left"/>
      <protection locked="0"/>
    </xf>
    <xf numFmtId="0" fontId="0" fillId="0" borderId="37" xfId="0" applyBorder="1" applyAlignment="1" applyProtection="1">
      <alignment wrapText="1"/>
      <protection locked="0"/>
    </xf>
    <xf numFmtId="0" fontId="0" fillId="0" borderId="48" xfId="0" applyBorder="1" applyProtection="1">
      <protection locked="0"/>
    </xf>
    <xf numFmtId="49" fontId="0" fillId="0" borderId="48" xfId="0" applyNumberFormat="1" applyBorder="1" applyAlignment="1" applyProtection="1">
      <alignment horizontal="left"/>
      <protection locked="0"/>
    </xf>
    <xf numFmtId="0" fontId="0" fillId="0" borderId="46" xfId="0" applyBorder="1" applyAlignment="1" applyProtection="1">
      <alignment wrapText="1"/>
      <protection locked="0"/>
    </xf>
    <xf numFmtId="0" fontId="2" fillId="0" borderId="33" xfId="0" applyFont="1" applyBorder="1"/>
    <xf numFmtId="0" fontId="0" fillId="0" borderId="1" xfId="0" applyBorder="1" applyAlignment="1">
      <alignment horizontal="center" vertical="center" wrapText="1"/>
    </xf>
    <xf numFmtId="0" fontId="2" fillId="0" borderId="25" xfId="0" applyFont="1" applyBorder="1" applyAlignment="1">
      <alignment horizontal="center" vertical="center" wrapText="1"/>
    </xf>
    <xf numFmtId="0" fontId="9" fillId="0" borderId="0" xfId="0" applyFont="1"/>
    <xf numFmtId="0" fontId="0" fillId="0" borderId="0" xfId="0" applyAlignment="1">
      <alignment horizontal="left"/>
    </xf>
    <xf numFmtId="0" fontId="1" fillId="0" borderId="0" xfId="2" applyNumberFormat="1" applyFill="1" applyBorder="1" applyAlignment="1">
      <alignment horizontal="center"/>
    </xf>
    <xf numFmtId="0" fontId="10" fillId="0" borderId="0" xfId="0" applyFont="1"/>
    <xf numFmtId="0" fontId="9" fillId="0" borderId="0" xfId="0" applyFont="1" applyAlignment="1">
      <alignment horizontal="center" vertical="center"/>
    </xf>
    <xf numFmtId="0" fontId="0" fillId="0" borderId="0" xfId="0" applyAlignment="1">
      <alignment horizontal="center" vertical="center" wrapText="1"/>
    </xf>
    <xf numFmtId="164" fontId="0" fillId="7" borderId="0" xfId="0" applyNumberFormat="1" applyFill="1" applyAlignment="1">
      <alignment wrapText="1"/>
    </xf>
    <xf numFmtId="0" fontId="0" fillId="0" borderId="18" xfId="0" applyBorder="1" applyAlignment="1">
      <alignment horizontal="left" vertical="top" wrapText="1"/>
    </xf>
    <xf numFmtId="0" fontId="0" fillId="0" borderId="18" xfId="0" applyBorder="1" applyAlignment="1">
      <alignment horizontal="left" vertical="center" wrapText="1"/>
    </xf>
    <xf numFmtId="0" fontId="2" fillId="0" borderId="19" xfId="0" applyFont="1" applyBorder="1" applyAlignment="1">
      <alignment horizontal="left" vertical="center" wrapText="1"/>
    </xf>
    <xf numFmtId="0" fontId="4" fillId="19" borderId="18" xfId="0" applyFont="1" applyFill="1" applyBorder="1" applyAlignment="1">
      <alignment horizontal="left" vertical="center" wrapText="1"/>
    </xf>
    <xf numFmtId="2" fontId="2" fillId="0" borderId="6" xfId="0" applyNumberFormat="1" applyFont="1" applyBorder="1" applyAlignment="1">
      <alignment horizontal="center" vertical="center"/>
    </xf>
    <xf numFmtId="2" fontId="2" fillId="0" borderId="44" xfId="0" applyNumberFormat="1" applyFont="1" applyBorder="1" applyAlignment="1">
      <alignment horizontal="center" vertical="center" wrapText="1"/>
    </xf>
    <xf numFmtId="0" fontId="4" fillId="7" borderId="80" xfId="0" applyFont="1" applyFill="1" applyBorder="1"/>
    <xf numFmtId="0" fontId="2" fillId="0" borderId="11" xfId="0" applyFont="1" applyBorder="1" applyAlignment="1">
      <alignment horizontal="center" vertical="center"/>
    </xf>
    <xf numFmtId="0" fontId="4" fillId="7" borderId="66" xfId="0" applyFont="1" applyFill="1" applyBorder="1"/>
    <xf numFmtId="9" fontId="1" fillId="13" borderId="11" xfId="1" applyFill="1" applyBorder="1" applyAlignment="1" applyProtection="1">
      <alignment horizontal="right"/>
    </xf>
    <xf numFmtId="0" fontId="4" fillId="7" borderId="83" xfId="0" applyFont="1" applyFill="1" applyBorder="1"/>
    <xf numFmtId="0" fontId="0" fillId="4" borderId="19" xfId="0" applyFill="1" applyBorder="1"/>
    <xf numFmtId="0" fontId="0" fillId="0" borderId="19" xfId="0" applyBorder="1" applyAlignment="1">
      <alignment wrapText="1"/>
    </xf>
    <xf numFmtId="0" fontId="5" fillId="0" borderId="0" xfId="0" applyFont="1" applyAlignment="1">
      <alignment horizontal="center"/>
    </xf>
    <xf numFmtId="0" fontId="0" fillId="0" borderId="18" xfId="0" applyBorder="1" applyAlignment="1">
      <alignment vertical="top" wrapText="1"/>
    </xf>
    <xf numFmtId="0" fontId="0" fillId="0" borderId="19" xfId="0" applyBorder="1" applyAlignment="1">
      <alignment vertical="top" wrapText="1"/>
    </xf>
    <xf numFmtId="0" fontId="2" fillId="0" borderId="18" xfId="0" applyFont="1" applyBorder="1" applyAlignment="1">
      <alignment horizontal="center" vertical="center"/>
    </xf>
    <xf numFmtId="0" fontId="2" fillId="0" borderId="0" xfId="0" applyFont="1"/>
    <xf numFmtId="0" fontId="0" fillId="0" borderId="12" xfId="0" applyBorder="1"/>
    <xf numFmtId="0" fontId="0" fillId="0" borderId="0" xfId="0" applyAlignment="1">
      <alignment vertical="center"/>
    </xf>
    <xf numFmtId="0" fontId="2" fillId="0" borderId="18" xfId="0" applyFont="1" applyBorder="1" applyAlignment="1">
      <alignment vertical="center" wrapText="1"/>
    </xf>
    <xf numFmtId="0" fontId="0" fillId="0" borderId="10" xfId="0" applyBorder="1" applyAlignment="1">
      <alignment wrapText="1"/>
    </xf>
    <xf numFmtId="0" fontId="0" fillId="0" borderId="0" xfId="0" applyAlignment="1">
      <alignment horizontal="center" vertical="center"/>
    </xf>
    <xf numFmtId="0" fontId="0" fillId="0" borderId="18" xfId="0" applyBorder="1" applyAlignment="1">
      <alignment wrapText="1"/>
    </xf>
    <xf numFmtId="0" fontId="12" fillId="7" borderId="0" xfId="3" applyFont="1" applyFill="1" applyBorder="1" applyAlignment="1" applyProtection="1">
      <alignment horizontal="center" vertical="center"/>
    </xf>
    <xf numFmtId="0" fontId="12" fillId="7" borderId="0" xfId="3" applyFont="1" applyFill="1" applyBorder="1" applyAlignment="1" applyProtection="1">
      <alignment horizontal="center" vertical="center" wrapText="1"/>
    </xf>
    <xf numFmtId="2" fontId="2" fillId="0" borderId="0" xfId="0" applyNumberFormat="1" applyFont="1" applyAlignment="1">
      <alignment horizontal="center" vertical="center"/>
    </xf>
    <xf numFmtId="0" fontId="0" fillId="19" borderId="18" xfId="0" applyFill="1" applyBorder="1" applyAlignment="1">
      <alignment horizontal="left" vertical="center" wrapText="1"/>
    </xf>
    <xf numFmtId="2" fontId="0" fillId="7" borderId="0" xfId="0" applyNumberFormat="1" applyFill="1" applyAlignment="1">
      <alignment horizontal="center" vertical="center" wrapText="1"/>
    </xf>
    <xf numFmtId="0" fontId="12" fillId="0" borderId="0" xfId="3" applyFont="1" applyFill="1" applyBorder="1" applyAlignment="1" applyProtection="1">
      <alignment horizontal="center" vertical="center"/>
    </xf>
    <xf numFmtId="0" fontId="12" fillId="0" borderId="0" xfId="3" applyFont="1" applyFill="1" applyBorder="1" applyAlignment="1" applyProtection="1">
      <alignment horizontal="center" vertical="center" wrapText="1"/>
    </xf>
    <xf numFmtId="0" fontId="0" fillId="0" borderId="10" xfId="0" applyBorder="1"/>
    <xf numFmtId="2" fontId="0" fillId="13" borderId="14" xfId="0" applyNumberFormat="1" applyFill="1" applyBorder="1" applyAlignment="1">
      <alignment horizontal="center"/>
    </xf>
    <xf numFmtId="0" fontId="2" fillId="0" borderId="18" xfId="0" applyFont="1" applyBorder="1" applyAlignment="1">
      <alignment horizontal="center" vertical="center" wrapText="1"/>
    </xf>
    <xf numFmtId="0" fontId="0" fillId="13" borderId="11" xfId="0" applyFill="1" applyBorder="1" applyAlignment="1">
      <alignment horizontal="center"/>
    </xf>
    <xf numFmtId="0" fontId="0" fillId="6" borderId="1" xfId="0" applyFill="1" applyBorder="1" applyAlignment="1" applyProtection="1">
      <alignment horizontal="center" vertical="center"/>
      <protection locked="0"/>
    </xf>
    <xf numFmtId="0" fontId="0" fillId="6" borderId="11" xfId="0" applyFill="1" applyBorder="1" applyAlignment="1" applyProtection="1">
      <alignment horizontal="center"/>
      <protection locked="0"/>
    </xf>
    <xf numFmtId="0" fontId="0" fillId="19" borderId="44" xfId="0" applyFill="1" applyBorder="1" applyAlignment="1" applyProtection="1">
      <alignment vertical="center"/>
      <protection locked="0"/>
      <extLst>
        <ext xmlns:xfpb="http://schemas.microsoft.com/office/spreadsheetml/2022/featurepropertybag" uri="{C7286773-470A-42A8-94C5-96B5CB345126}">
          <xfpb:xfComplement i="0"/>
        </ext>
      </extLst>
    </xf>
    <xf numFmtId="2" fontId="0" fillId="0" borderId="1" xfId="0" applyNumberFormat="1" applyBorder="1" applyProtection="1">
      <protection locked="0"/>
    </xf>
    <xf numFmtId="0" fontId="0" fillId="7" borderId="0" xfId="0" quotePrefix="1" applyFill="1"/>
    <xf numFmtId="0" fontId="0" fillId="0" borderId="18" xfId="0" applyBorder="1" applyAlignment="1">
      <alignment horizontal="center" vertical="center" wrapText="1"/>
    </xf>
    <xf numFmtId="0" fontId="10" fillId="0" borderId="18" xfId="3" applyFont="1" applyFill="1" applyBorder="1" applyAlignment="1" applyProtection="1">
      <alignment horizontal="left" vertical="center" wrapText="1"/>
    </xf>
    <xf numFmtId="0" fontId="10" fillId="19" borderId="18" xfId="0" applyFont="1" applyFill="1" applyBorder="1" applyAlignment="1">
      <alignment horizontal="left" vertical="center" wrapText="1"/>
    </xf>
    <xf numFmtId="0" fontId="4" fillId="7" borderId="18" xfId="0" applyFont="1" applyFill="1" applyBorder="1" applyAlignment="1">
      <alignment wrapText="1"/>
    </xf>
    <xf numFmtId="0" fontId="2" fillId="7" borderId="19" xfId="0" applyFont="1" applyFill="1" applyBorder="1" applyAlignment="1">
      <alignment wrapText="1"/>
    </xf>
    <xf numFmtId="0" fontId="4" fillId="0" borderId="7" xfId="0" applyFont="1" applyBorder="1" applyAlignment="1">
      <alignment horizontal="left" wrapText="1"/>
    </xf>
    <xf numFmtId="0" fontId="4" fillId="0" borderId="30" xfId="0" applyFont="1" applyBorder="1" applyAlignment="1">
      <alignment horizontal="left" wrapText="1"/>
    </xf>
    <xf numFmtId="0" fontId="0" fillId="7" borderId="30" xfId="0" applyFill="1" applyBorder="1" applyAlignment="1">
      <alignment wrapText="1"/>
    </xf>
    <xf numFmtId="0" fontId="0" fillId="7" borderId="19" xfId="0" applyFill="1" applyBorder="1" applyAlignment="1">
      <alignment wrapText="1"/>
    </xf>
    <xf numFmtId="0" fontId="17" fillId="0" borderId="25" xfId="0" applyFont="1" applyBorder="1" applyAlignment="1">
      <alignment vertical="center" wrapText="1"/>
    </xf>
    <xf numFmtId="0" fontId="0" fillId="0" borderId="30" xfId="0" applyBorder="1" applyAlignment="1">
      <alignment horizontal="left" indent="1"/>
    </xf>
    <xf numFmtId="0" fontId="0" fillId="0" borderId="25" xfId="0" applyBorder="1" applyAlignment="1">
      <alignment horizontal="left" indent="1"/>
    </xf>
    <xf numFmtId="0" fontId="0" fillId="0" borderId="18" xfId="0" applyBorder="1" applyAlignment="1">
      <alignment horizontal="left" indent="1"/>
    </xf>
    <xf numFmtId="0" fontId="0" fillId="0" borderId="12" xfId="0" applyBorder="1" applyAlignment="1">
      <alignment wrapText="1"/>
    </xf>
    <xf numFmtId="0" fontId="17" fillId="0" borderId="18" xfId="0" applyFont="1" applyBorder="1" applyAlignment="1">
      <alignment vertical="center" wrapText="1"/>
    </xf>
    <xf numFmtId="0" fontId="4" fillId="19" borderId="11"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1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56"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2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14"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63"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71" xfId="0" applyFont="1" applyBorder="1" applyAlignment="1" applyProtection="1">
      <alignment vertical="center"/>
      <protection locked="0"/>
    </xf>
    <xf numFmtId="0" fontId="2" fillId="0" borderId="35" xfId="0" applyFont="1" applyBorder="1" applyAlignment="1" applyProtection="1">
      <alignment horizontal="left" vertical="center"/>
      <protection locked="0"/>
    </xf>
    <xf numFmtId="0" fontId="2" fillId="0" borderId="71" xfId="0" applyFont="1" applyBorder="1" applyAlignment="1" applyProtection="1">
      <alignment horizontal="left" vertical="center"/>
      <protection locked="0"/>
    </xf>
    <xf numFmtId="0" fontId="2" fillId="0" borderId="35" xfId="0" applyFont="1" applyBorder="1" applyAlignment="1" applyProtection="1">
      <alignment vertical="center"/>
      <protection locked="0"/>
    </xf>
    <xf numFmtId="0" fontId="2" fillId="0" borderId="34" xfId="0" applyFont="1" applyBorder="1" applyAlignment="1" applyProtection="1">
      <alignment vertical="center"/>
      <protection locked="0"/>
    </xf>
    <xf numFmtId="0" fontId="0" fillId="0" borderId="43" xfId="0" applyBorder="1" applyAlignment="1" applyProtection="1">
      <alignment horizontal="left"/>
      <protection locked="0"/>
    </xf>
    <xf numFmtId="2" fontId="0" fillId="0" borderId="6" xfId="0" applyNumberFormat="1" applyBorder="1" applyAlignment="1" applyProtection="1">
      <alignment horizontal="right"/>
      <protection locked="0"/>
    </xf>
    <xf numFmtId="2" fontId="0" fillId="0" borderId="1" xfId="0" applyNumberFormat="1" applyBorder="1" applyAlignment="1" applyProtection="1">
      <alignment horizontal="right"/>
      <protection locked="0"/>
    </xf>
    <xf numFmtId="2" fontId="0" fillId="17" borderId="1" xfId="0" applyNumberFormat="1" applyFill="1" applyBorder="1" applyProtection="1">
      <protection locked="0"/>
    </xf>
    <xf numFmtId="2" fontId="0" fillId="0" borderId="2" xfId="0" applyNumberFormat="1" applyBorder="1" applyProtection="1">
      <protection locked="0"/>
    </xf>
    <xf numFmtId="2" fontId="9" fillId="0" borderId="1" xfId="0" applyNumberFormat="1" applyFont="1" applyBorder="1" applyAlignment="1" applyProtection="1">
      <alignment horizontal="right"/>
      <protection locked="0"/>
    </xf>
    <xf numFmtId="2" fontId="0" fillId="0" borderId="48" xfId="0" applyNumberFormat="1" applyBorder="1" applyAlignment="1" applyProtection="1">
      <alignment horizontal="right"/>
      <protection locked="0"/>
    </xf>
    <xf numFmtId="2" fontId="0" fillId="16" borderId="18" xfId="0" applyNumberFormat="1" applyFill="1" applyBorder="1" applyAlignment="1" applyProtection="1">
      <alignment horizontal="left"/>
      <protection locked="0"/>
    </xf>
    <xf numFmtId="2" fontId="0" fillId="16" borderId="1" xfId="0" applyNumberFormat="1" applyFill="1" applyBorder="1" applyAlignment="1" applyProtection="1">
      <alignment horizontal="left"/>
      <protection locked="0"/>
    </xf>
    <xf numFmtId="0" fontId="2" fillId="19" borderId="71" xfId="0" applyFont="1" applyFill="1" applyBorder="1" applyAlignment="1">
      <alignment horizontal="center" vertical="center" wrapText="1"/>
    </xf>
    <xf numFmtId="0" fontId="2" fillId="19" borderId="67" xfId="0" applyFont="1" applyFill="1" applyBorder="1" applyAlignment="1">
      <alignment horizontal="center" vertical="center" wrapText="1"/>
    </xf>
    <xf numFmtId="0" fontId="2" fillId="19" borderId="33" xfId="0" applyFont="1" applyFill="1" applyBorder="1" applyAlignment="1">
      <alignment horizontal="center" vertical="center" wrapText="1"/>
    </xf>
    <xf numFmtId="171" fontId="0" fillId="19" borderId="7" xfId="0" applyNumberFormat="1" applyFill="1" applyBorder="1" applyAlignment="1">
      <alignment vertical="center" wrapText="1"/>
    </xf>
    <xf numFmtId="171" fontId="0" fillId="19" borderId="8" xfId="0" applyNumberFormat="1" applyFill="1" applyBorder="1" applyAlignment="1">
      <alignment vertical="center" wrapText="1"/>
    </xf>
    <xf numFmtId="171" fontId="0" fillId="19" borderId="9" xfId="0" applyNumberFormat="1" applyFill="1" applyBorder="1" applyAlignment="1">
      <alignment vertical="center" wrapText="1"/>
    </xf>
    <xf numFmtId="171" fontId="0" fillId="19" borderId="18" xfId="0" applyNumberFormat="1" applyFill="1" applyBorder="1" applyAlignment="1">
      <alignment vertical="center" wrapText="1"/>
    </xf>
    <xf numFmtId="171" fontId="0" fillId="19" borderId="1" xfId="0" applyNumberFormat="1" applyFill="1" applyBorder="1" applyAlignment="1">
      <alignment vertical="center" wrapText="1"/>
    </xf>
    <xf numFmtId="171" fontId="0" fillId="19" borderId="11" xfId="0" applyNumberFormat="1" applyFill="1" applyBorder="1" applyAlignment="1">
      <alignment vertical="center" wrapText="1"/>
    </xf>
    <xf numFmtId="171" fontId="0" fillId="19" borderId="19" xfId="0" applyNumberFormat="1" applyFill="1" applyBorder="1" applyAlignment="1">
      <alignment vertical="center" wrapText="1"/>
    </xf>
    <xf numFmtId="171" fontId="0" fillId="19" borderId="20" xfId="0" applyNumberFormat="1" applyFill="1" applyBorder="1" applyAlignment="1">
      <alignment vertical="center" wrapText="1"/>
    </xf>
    <xf numFmtId="171" fontId="0" fillId="19" borderId="14" xfId="0" applyNumberFormat="1" applyFill="1" applyBorder="1" applyAlignment="1">
      <alignment vertical="center" wrapText="1"/>
    </xf>
    <xf numFmtId="0" fontId="0" fillId="6" borderId="20"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19"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3" borderId="21" xfId="0" applyFill="1" applyBorder="1" applyAlignment="1" applyProtection="1">
      <alignment horizontal="center" wrapText="1"/>
      <protection locked="0"/>
    </xf>
    <xf numFmtId="0" fontId="0" fillId="13" borderId="56" xfId="0" applyFill="1" applyBorder="1" applyAlignment="1" applyProtection="1">
      <alignment horizontal="center" wrapText="1"/>
      <protection locked="0"/>
    </xf>
    <xf numFmtId="0" fontId="4" fillId="19" borderId="38" xfId="0" applyFont="1" applyFill="1" applyBorder="1" applyAlignment="1">
      <alignment wrapText="1"/>
    </xf>
    <xf numFmtId="0" fontId="4" fillId="7" borderId="7" xfId="0" applyFont="1" applyFill="1" applyBorder="1" applyAlignment="1">
      <alignment wrapText="1"/>
    </xf>
    <xf numFmtId="0" fontId="9" fillId="0" borderId="32" xfId="0" applyFont="1" applyBorder="1" applyAlignment="1">
      <alignment horizontal="left" vertical="center" wrapText="1"/>
    </xf>
    <xf numFmtId="0" fontId="7" fillId="0" borderId="19" xfId="0" applyFont="1" applyBorder="1" applyAlignment="1">
      <alignment horizontal="left" vertical="top" wrapText="1"/>
    </xf>
    <xf numFmtId="0" fontId="30" fillId="0" borderId="0" xfId="0" applyFont="1"/>
    <xf numFmtId="2" fontId="0" fillId="20" borderId="1" xfId="0" applyNumberFormat="1" applyFill="1" applyBorder="1" applyProtection="1">
      <protection locked="0"/>
    </xf>
    <xf numFmtId="0" fontId="2" fillId="0" borderId="71" xfId="0" applyFont="1" applyBorder="1" applyAlignment="1" applyProtection="1">
      <alignment horizontal="center" vertical="center"/>
      <protection locked="0"/>
    </xf>
    <xf numFmtId="2" fontId="0" fillId="20" borderId="2" xfId="0" applyNumberFormat="1" applyFill="1" applyBorder="1" applyProtection="1">
      <protection locked="0"/>
    </xf>
    <xf numFmtId="2" fontId="0" fillId="16" borderId="2" xfId="0" applyNumberFormat="1" applyFill="1" applyBorder="1" applyAlignment="1" applyProtection="1">
      <alignment horizontal="left"/>
      <protection locked="0"/>
    </xf>
    <xf numFmtId="0" fontId="0" fillId="0" borderId="40" xfId="0" applyBorder="1"/>
    <xf numFmtId="0" fontId="0" fillId="0" borderId="4" xfId="0" applyBorder="1"/>
    <xf numFmtId="0" fontId="0" fillId="0" borderId="8" xfId="0" applyBorder="1" applyAlignment="1" applyProtection="1">
      <alignment horizontal="left"/>
      <protection locked="0"/>
    </xf>
    <xf numFmtId="0" fontId="0" fillId="0" borderId="1" xfId="0" applyBorder="1" applyAlignment="1" applyProtection="1">
      <alignment horizontal="left"/>
      <protection locked="0"/>
    </xf>
    <xf numFmtId="2" fontId="0" fillId="16" borderId="39" xfId="0" applyNumberFormat="1" applyFill="1" applyBorder="1" applyAlignment="1" applyProtection="1">
      <alignment horizontal="left"/>
      <protection locked="0"/>
    </xf>
    <xf numFmtId="2" fontId="0" fillId="16" borderId="48" xfId="0" applyNumberFormat="1" applyFill="1" applyBorder="1" applyAlignment="1" applyProtection="1">
      <alignment horizontal="left"/>
      <protection locked="0"/>
    </xf>
    <xf numFmtId="2" fontId="0" fillId="16" borderId="46" xfId="0" applyNumberFormat="1" applyFill="1" applyBorder="1" applyAlignment="1" applyProtection="1">
      <alignment horizontal="left"/>
      <protection locked="0"/>
    </xf>
    <xf numFmtId="0" fontId="6" fillId="6" borderId="14" xfId="3" applyFill="1" applyBorder="1" applyAlignment="1" applyProtection="1">
      <alignment vertical="top"/>
      <protection locked="0"/>
    </xf>
    <xf numFmtId="9" fontId="0" fillId="13" borderId="14" xfId="1" applyFont="1" applyFill="1" applyBorder="1" applyAlignment="1" applyProtection="1">
      <alignment horizontal="right"/>
    </xf>
    <xf numFmtId="9" fontId="0" fillId="13" borderId="44" xfId="1" applyFont="1" applyFill="1" applyBorder="1" applyAlignment="1" applyProtection="1">
      <alignment horizontal="right"/>
    </xf>
    <xf numFmtId="0" fontId="0" fillId="0" borderId="18" xfId="0" applyBorder="1" applyProtection="1">
      <protection locked="0"/>
    </xf>
    <xf numFmtId="0" fontId="0" fillId="0" borderId="30" xfId="0" applyBorder="1" applyProtection="1">
      <protection locked="0"/>
    </xf>
    <xf numFmtId="0" fontId="0" fillId="0" borderId="19" xfId="0" applyBorder="1" applyProtection="1">
      <protection locked="0"/>
    </xf>
    <xf numFmtId="0" fontId="0" fillId="0" borderId="32" xfId="0" applyBorder="1" applyProtection="1">
      <protection locked="0"/>
    </xf>
    <xf numFmtId="0" fontId="0" fillId="6" borderId="9" xfId="0" applyFill="1" applyBorder="1" applyProtection="1">
      <protection locked="0"/>
      <extLst>
        <ext xmlns:xfpb="http://schemas.microsoft.com/office/spreadsheetml/2022/featurepropertybag" uri="{C7286773-470A-42A8-94C5-96B5CB345126}">
          <xfpb:xfComplement i="0"/>
        </ext>
      </extLst>
    </xf>
    <xf numFmtId="0" fontId="0" fillId="6" borderId="11" xfId="0" applyFill="1" applyBorder="1" applyProtection="1">
      <protection locked="0"/>
      <extLst>
        <ext xmlns:xfpb="http://schemas.microsoft.com/office/spreadsheetml/2022/featurepropertybag" uri="{C7286773-470A-42A8-94C5-96B5CB345126}">
          <xfpb:xfComplement i="0"/>
        </ext>
      </extLst>
    </xf>
    <xf numFmtId="0" fontId="0" fillId="6" borderId="14" xfId="0" applyFill="1" applyBorder="1" applyProtection="1">
      <protection locked="0"/>
      <extLst>
        <ext xmlns:xfpb="http://schemas.microsoft.com/office/spreadsheetml/2022/featurepropertybag" uri="{C7286773-470A-42A8-94C5-96B5CB345126}">
          <xfpb:xfComplement i="0"/>
        </ext>
      </extLst>
    </xf>
    <xf numFmtId="0" fontId="0" fillId="6" borderId="1" xfId="0" applyFill="1" applyBorder="1" applyProtection="1">
      <protection locked="0"/>
      <extLst>
        <ext xmlns:xfpb="http://schemas.microsoft.com/office/spreadsheetml/2022/featurepropertybag" uri="{C7286773-470A-42A8-94C5-96B5CB345126}">
          <xfpb:xfComplement i="0"/>
        </ext>
      </extLst>
    </xf>
    <xf numFmtId="0" fontId="0" fillId="6" borderId="48" xfId="0" applyFill="1" applyBorder="1" applyProtection="1">
      <protection locked="0"/>
      <extLst>
        <ext xmlns:xfpb="http://schemas.microsoft.com/office/spreadsheetml/2022/featurepropertybag" uri="{C7286773-470A-42A8-94C5-96B5CB345126}">
          <xfpb:xfComplement i="0"/>
        </ext>
      </extLst>
    </xf>
    <xf numFmtId="0" fontId="0" fillId="6" borderId="24" xfId="0" applyFill="1" applyBorder="1" applyProtection="1">
      <protection locked="0"/>
      <extLst>
        <ext xmlns:xfpb="http://schemas.microsoft.com/office/spreadsheetml/2022/featurepropertybag" uri="{C7286773-470A-42A8-94C5-96B5CB345126}">
          <xfpb:xfComplement i="0"/>
        </ext>
      </extLst>
    </xf>
    <xf numFmtId="0" fontId="0" fillId="6" borderId="4" xfId="0" applyFill="1" applyBorder="1" applyProtection="1">
      <protection locked="0"/>
      <extLst>
        <ext xmlns:xfpb="http://schemas.microsoft.com/office/spreadsheetml/2022/featurepropertybag" uri="{C7286773-470A-42A8-94C5-96B5CB345126}">
          <xfpb:xfComplement i="0"/>
        </ext>
      </extLst>
    </xf>
    <xf numFmtId="0" fontId="0" fillId="6" borderId="13" xfId="0" applyFill="1" applyBorder="1" applyProtection="1">
      <protection locked="0"/>
      <extLst>
        <ext xmlns:xfpb="http://schemas.microsoft.com/office/spreadsheetml/2022/featurepropertybag" uri="{C7286773-470A-42A8-94C5-96B5CB345126}">
          <xfpb:xfComplement i="0"/>
        </ext>
      </extLst>
    </xf>
    <xf numFmtId="0" fontId="0" fillId="0" borderId="15" xfId="0" applyBorder="1"/>
    <xf numFmtId="0" fontId="2" fillId="0" borderId="0" xfId="0" applyFont="1" applyAlignment="1">
      <alignment wrapText="1"/>
    </xf>
    <xf numFmtId="0" fontId="10" fillId="0" borderId="2" xfId="0" applyFont="1" applyBorder="1" applyAlignment="1">
      <alignment horizontal="center" vertical="center" wrapText="1"/>
    </xf>
    <xf numFmtId="0" fontId="10" fillId="0" borderId="1" xfId="3" applyFont="1" applyFill="1" applyBorder="1" applyAlignment="1">
      <alignment horizontal="center" vertical="center" wrapText="1"/>
    </xf>
    <xf numFmtId="0" fontId="0" fillId="7" borderId="67" xfId="0" applyFill="1" applyBorder="1"/>
    <xf numFmtId="0" fontId="0" fillId="7" borderId="87" xfId="0" applyFill="1" applyBorder="1"/>
    <xf numFmtId="0" fontId="0" fillId="7" borderId="74" xfId="0" applyFill="1" applyBorder="1"/>
    <xf numFmtId="0" fontId="4" fillId="0" borderId="1" xfId="0" applyFont="1" applyBorder="1" applyAlignment="1">
      <alignment horizontal="center" vertical="center" wrapText="1"/>
    </xf>
    <xf numFmtId="0" fontId="4" fillId="7" borderId="1" xfId="0" applyFont="1" applyFill="1" applyBorder="1" applyAlignment="1">
      <alignment horizontal="center" vertical="center" wrapText="1"/>
    </xf>
    <xf numFmtId="0" fontId="9" fillId="0" borderId="7" xfId="0" applyFont="1" applyBorder="1" applyAlignment="1">
      <alignment horizontal="left" vertical="center" wrapText="1"/>
    </xf>
    <xf numFmtId="2" fontId="0" fillId="6" borderId="1" xfId="0" applyNumberFormat="1" applyFill="1" applyBorder="1" applyAlignment="1" applyProtection="1">
      <alignment horizontal="right" vertical="center"/>
      <protection locked="0"/>
    </xf>
    <xf numFmtId="2" fontId="0" fillId="13" borderId="20" xfId="0" applyNumberFormat="1" applyFill="1" applyBorder="1" applyAlignment="1" applyProtection="1">
      <alignment horizontal="right" vertical="center"/>
      <protection locked="0"/>
    </xf>
    <xf numFmtId="2" fontId="0" fillId="13" borderId="6" xfId="2" applyFont="1" applyFill="1" applyBorder="1" applyAlignment="1">
      <alignment horizontal="right" vertical="center"/>
    </xf>
    <xf numFmtId="2" fontId="0" fillId="13" borderId="20" xfId="2" applyFont="1" applyFill="1" applyBorder="1" applyAlignment="1">
      <alignment horizontal="right" vertical="center"/>
    </xf>
    <xf numFmtId="2" fontId="0" fillId="6" borderId="1" xfId="0" applyNumberFormat="1" applyFill="1" applyBorder="1" applyAlignment="1" applyProtection="1">
      <alignment horizontal="right"/>
      <protection locked="0"/>
    </xf>
    <xf numFmtId="2" fontId="0" fillId="13" borderId="20" xfId="0" applyNumberFormat="1" applyFill="1" applyBorder="1" applyAlignment="1">
      <alignment horizontal="right" vertical="center"/>
    </xf>
    <xf numFmtId="2" fontId="0" fillId="6" borderId="11" xfId="0" applyNumberFormat="1" applyFill="1" applyBorder="1" applyAlignment="1" applyProtection="1">
      <alignment horizontal="right"/>
      <protection locked="0"/>
    </xf>
    <xf numFmtId="2" fontId="0" fillId="6" borderId="20" xfId="0" applyNumberFormat="1" applyFill="1" applyBorder="1" applyAlignment="1" applyProtection="1">
      <alignment horizontal="right"/>
      <protection locked="0"/>
    </xf>
    <xf numFmtId="2" fontId="0" fillId="6" borderId="14" xfId="0" applyNumberFormat="1" applyFill="1" applyBorder="1" applyAlignment="1" applyProtection="1">
      <alignment horizontal="right"/>
      <protection locked="0"/>
    </xf>
    <xf numFmtId="2" fontId="0" fillId="6" borderId="6" xfId="0" applyNumberFormat="1" applyFill="1" applyBorder="1" applyAlignment="1" applyProtection="1">
      <alignment horizontal="right"/>
      <protection locked="0"/>
    </xf>
    <xf numFmtId="2" fontId="0" fillId="6" borderId="44" xfId="0" applyNumberFormat="1" applyFill="1" applyBorder="1" applyAlignment="1" applyProtection="1">
      <alignment horizontal="right"/>
      <protection locked="0"/>
    </xf>
    <xf numFmtId="2" fontId="0" fillId="6" borderId="51" xfId="0" applyNumberFormat="1" applyFill="1" applyBorder="1" applyAlignment="1" applyProtection="1">
      <alignment horizontal="right"/>
      <protection locked="0"/>
    </xf>
    <xf numFmtId="2" fontId="0" fillId="0" borderId="11" xfId="0" applyNumberFormat="1" applyBorder="1" applyAlignment="1" applyProtection="1">
      <alignment horizontal="right" vertical="center"/>
      <protection locked="0"/>
    </xf>
    <xf numFmtId="2" fontId="0" fillId="0" borderId="14" xfId="0" applyNumberFormat="1" applyBorder="1" applyAlignment="1" applyProtection="1">
      <alignment horizontal="right" vertical="center" wrapText="1"/>
      <protection locked="0"/>
    </xf>
    <xf numFmtId="2" fontId="0" fillId="0" borderId="1" xfId="0" applyNumberFormat="1" applyBorder="1" applyAlignment="1" applyProtection="1">
      <alignment horizontal="right" vertical="center" wrapText="1"/>
      <protection locked="0"/>
    </xf>
    <xf numFmtId="2" fontId="0" fillId="0" borderId="1" xfId="0" applyNumberFormat="1" applyBorder="1" applyAlignment="1" applyProtection="1">
      <alignment horizontal="right" vertical="center"/>
      <protection locked="0"/>
    </xf>
    <xf numFmtId="2" fontId="0" fillId="13" borderId="11" xfId="0" applyNumberFormat="1" applyFill="1" applyBorder="1" applyAlignment="1">
      <alignment horizontal="right" vertical="center"/>
    </xf>
    <xf numFmtId="2" fontId="0" fillId="0" borderId="20" xfId="0" applyNumberFormat="1" applyBorder="1" applyAlignment="1" applyProtection="1">
      <alignment horizontal="right"/>
      <protection locked="0"/>
    </xf>
    <xf numFmtId="2" fontId="0" fillId="13" borderId="14" xfId="0" applyNumberFormat="1" applyFill="1" applyBorder="1" applyAlignment="1">
      <alignment horizontal="right" vertical="center"/>
    </xf>
    <xf numFmtId="2" fontId="0" fillId="0" borderId="6" xfId="0" applyNumberFormat="1" applyBorder="1" applyAlignment="1" applyProtection="1">
      <alignment horizontal="right" vertical="center"/>
      <protection locked="0"/>
    </xf>
    <xf numFmtId="2" fontId="0" fillId="13" borderId="44" xfId="0" applyNumberFormat="1" applyFill="1" applyBorder="1" applyAlignment="1">
      <alignment horizontal="right" vertical="center"/>
    </xf>
    <xf numFmtId="2" fontId="0" fillId="0" borderId="20" xfId="0" applyNumberFormat="1" applyBorder="1" applyAlignment="1" applyProtection="1">
      <alignment horizontal="right" vertical="center"/>
      <protection locked="0"/>
    </xf>
    <xf numFmtId="2" fontId="0" fillId="6" borderId="11" xfId="0" applyNumberFormat="1" applyFill="1" applyBorder="1" applyAlignment="1" applyProtection="1">
      <alignment horizontal="right" vertical="center"/>
      <protection locked="0"/>
    </xf>
    <xf numFmtId="2" fontId="0" fillId="6" borderId="51" xfId="0" applyNumberFormat="1" applyFill="1" applyBorder="1" applyAlignment="1" applyProtection="1">
      <alignment horizontal="right" vertical="center"/>
      <protection locked="0"/>
    </xf>
    <xf numFmtId="2" fontId="0" fillId="6" borderId="9" xfId="0" applyNumberFormat="1" applyFill="1" applyBorder="1" applyAlignment="1" applyProtection="1">
      <alignment horizontal="right" vertical="center"/>
      <protection locked="0"/>
    </xf>
    <xf numFmtId="2" fontId="0" fillId="6" borderId="58" xfId="0" applyNumberFormat="1" applyFill="1" applyBorder="1" applyAlignment="1" applyProtection="1">
      <alignment horizontal="right" vertical="center"/>
      <protection locked="0"/>
    </xf>
    <xf numFmtId="2" fontId="0" fillId="6" borderId="14" xfId="0" applyNumberFormat="1" applyFill="1" applyBorder="1" applyAlignment="1" applyProtection="1">
      <alignment horizontal="right" vertical="center"/>
      <protection locked="0"/>
    </xf>
    <xf numFmtId="9" fontId="0" fillId="19" borderId="11" xfId="1" applyFont="1" applyFill="1" applyBorder="1" applyAlignment="1" applyProtection="1">
      <alignment horizontal="right"/>
    </xf>
    <xf numFmtId="0" fontId="2" fillId="0" borderId="1" xfId="0" applyFont="1" applyBorder="1" applyAlignment="1">
      <alignment horizontal="center" vertical="center" wrapText="1"/>
    </xf>
    <xf numFmtId="0" fontId="9" fillId="6" borderId="11" xfId="3" applyFont="1" applyFill="1" applyBorder="1" applyAlignment="1" applyProtection="1">
      <alignment horizontal="left" vertical="top" wrapText="1"/>
      <protection locked="0"/>
    </xf>
    <xf numFmtId="2" fontId="9" fillId="6" borderId="11" xfId="3" applyNumberFormat="1" applyFont="1" applyFill="1" applyBorder="1" applyAlignment="1" applyProtection="1">
      <alignment horizontal="right" vertical="top"/>
      <protection locked="0"/>
    </xf>
    <xf numFmtId="2" fontId="0" fillId="13" borderId="11" xfId="2" applyFont="1" applyFill="1" applyBorder="1" applyAlignment="1">
      <alignment horizontal="right"/>
    </xf>
    <xf numFmtId="2" fontId="0" fillId="13" borderId="14" xfId="2" applyFont="1" applyFill="1" applyBorder="1" applyAlignment="1">
      <alignment horizontal="right"/>
    </xf>
    <xf numFmtId="2" fontId="0" fillId="17" borderId="6" xfId="0" applyNumberFormat="1" applyFill="1" applyBorder="1"/>
    <xf numFmtId="2" fontId="0" fillId="17" borderId="43" xfId="0" applyNumberFormat="1" applyFill="1" applyBorder="1"/>
    <xf numFmtId="2" fontId="0" fillId="17" borderId="2" xfId="0" applyNumberFormat="1" applyFill="1" applyBorder="1"/>
    <xf numFmtId="2" fontId="21" fillId="17" borderId="2" xfId="0" applyNumberFormat="1" applyFont="1" applyFill="1" applyBorder="1" applyAlignment="1">
      <alignment horizontal="right"/>
    </xf>
    <xf numFmtId="2" fontId="0" fillId="17" borderId="1" xfId="0" applyNumberFormat="1" applyFill="1" applyBorder="1"/>
    <xf numFmtId="2" fontId="2" fillId="17" borderId="2" xfId="0" applyNumberFormat="1" applyFont="1" applyFill="1" applyBorder="1"/>
    <xf numFmtId="2" fontId="0" fillId="17" borderId="48" xfId="0" applyNumberFormat="1" applyFill="1" applyBorder="1"/>
    <xf numFmtId="2" fontId="0" fillId="17" borderId="46" xfId="0" applyNumberFormat="1" applyFill="1" applyBorder="1"/>
    <xf numFmtId="0" fontId="2" fillId="0" borderId="71" xfId="0" applyFont="1" applyBorder="1" applyAlignment="1">
      <alignment horizontal="left" vertical="center"/>
    </xf>
    <xf numFmtId="0" fontId="0" fillId="7" borderId="26" xfId="0" applyFill="1" applyBorder="1" applyAlignment="1">
      <alignment horizontal="center"/>
    </xf>
    <xf numFmtId="2" fontId="0" fillId="20" borderId="11" xfId="0" applyNumberFormat="1" applyFill="1" applyBorder="1" applyAlignment="1">
      <alignment horizontal="center"/>
    </xf>
    <xf numFmtId="0" fontId="0" fillId="0" borderId="26" xfId="0" applyBorder="1" applyAlignment="1">
      <alignment horizontal="center"/>
    </xf>
    <xf numFmtId="0" fontId="9" fillId="7" borderId="52" xfId="3" quotePrefix="1" applyFont="1" applyFill="1" applyBorder="1" applyAlignment="1" applyProtection="1">
      <alignment horizontal="left"/>
    </xf>
    <xf numFmtId="0" fontId="6" fillId="7" borderId="5" xfId="3" quotePrefix="1" applyFill="1" applyBorder="1" applyAlignment="1" applyProtection="1">
      <alignment horizontal="left"/>
    </xf>
    <xf numFmtId="0" fontId="6" fillId="7" borderId="47" xfId="3" quotePrefix="1" applyFill="1" applyBorder="1" applyAlignment="1" applyProtection="1">
      <alignment horizontal="left"/>
    </xf>
    <xf numFmtId="0" fontId="0" fillId="13" borderId="0" xfId="0" applyFill="1" applyAlignment="1">
      <alignment wrapText="1"/>
    </xf>
    <xf numFmtId="0" fontId="0" fillId="5" borderId="0" xfId="0" applyFill="1" applyAlignment="1">
      <alignment wrapText="1"/>
    </xf>
    <xf numFmtId="0" fontId="8" fillId="0" borderId="1"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0" xfId="0" applyFont="1" applyBorder="1" applyAlignment="1">
      <alignment horizontal="left" vertical="center"/>
    </xf>
    <xf numFmtId="0" fontId="2" fillId="0" borderId="55" xfId="0" applyFont="1" applyBorder="1" applyAlignment="1">
      <alignment horizontal="center" vertical="center" wrapText="1"/>
    </xf>
    <xf numFmtId="0" fontId="0" fillId="0" borderId="0" xfId="0" applyAlignment="1">
      <alignment indent="3"/>
    </xf>
    <xf numFmtId="0" fontId="0" fillId="0" borderId="0" xfId="0" applyAlignment="1">
      <alignment indent="2"/>
    </xf>
    <xf numFmtId="2" fontId="0" fillId="0" borderId="0" xfId="0" applyNumberFormat="1"/>
    <xf numFmtId="0" fontId="0" fillId="0" borderId="0" xfId="0" applyAlignment="1">
      <alignment indent="4"/>
    </xf>
    <xf numFmtId="0" fontId="0" fillId="0" borderId="0" xfId="0" applyAlignment="1">
      <alignment indent="5"/>
    </xf>
    <xf numFmtId="0" fontId="16" fillId="0" borderId="0" xfId="0" applyFont="1"/>
    <xf numFmtId="0" fontId="0" fillId="11" borderId="0" xfId="0" applyFill="1"/>
    <xf numFmtId="0" fontId="15" fillId="11" borderId="0" xfId="0" applyFont="1" applyFill="1"/>
    <xf numFmtId="0" fontId="15" fillId="0" borderId="0" xfId="0" applyFont="1"/>
    <xf numFmtId="0" fontId="22" fillId="11" borderId="0" xfId="0" applyFont="1" applyFill="1" applyAlignment="1">
      <alignment vertical="center" wrapText="1"/>
    </xf>
    <xf numFmtId="0" fontId="19" fillId="11" borderId="0" xfId="0" applyFont="1" applyFill="1" applyAlignment="1">
      <alignment horizontal="left" vertical="center" wrapText="1"/>
    </xf>
    <xf numFmtId="0" fontId="26" fillId="11" borderId="46" xfId="0" applyFont="1" applyFill="1" applyBorder="1"/>
    <xf numFmtId="0" fontId="18" fillId="0" borderId="5" xfId="0" applyFont="1" applyBorder="1"/>
    <xf numFmtId="0" fontId="18" fillId="0" borderId="53" xfId="0" applyFont="1" applyBorder="1"/>
    <xf numFmtId="0" fontId="18" fillId="0" borderId="0" xfId="0" applyFont="1"/>
    <xf numFmtId="0" fontId="18" fillId="11" borderId="0" xfId="0" applyFont="1" applyFill="1" applyAlignment="1">
      <alignment vertical="center" wrapText="1"/>
    </xf>
    <xf numFmtId="0" fontId="18" fillId="11" borderId="0" xfId="0" applyFont="1" applyFill="1" applyAlignment="1">
      <alignment vertical="top" wrapText="1"/>
    </xf>
    <xf numFmtId="0" fontId="0" fillId="0" borderId="0" xfId="0" applyAlignment="1">
      <alignment vertical="top"/>
    </xf>
    <xf numFmtId="0" fontId="26" fillId="21" borderId="2" xfId="0" applyFont="1" applyFill="1" applyBorder="1" applyAlignment="1">
      <alignment horizontal="left" vertical="center"/>
    </xf>
    <xf numFmtId="0" fontId="14" fillId="0" borderId="0" xfId="0" applyFont="1" applyAlignment="1">
      <alignment horizontal="center" vertical="center"/>
    </xf>
    <xf numFmtId="0" fontId="26" fillId="12" borderId="2" xfId="0" applyFont="1" applyFill="1" applyBorder="1" applyAlignment="1">
      <alignment horizontal="left" vertical="center"/>
    </xf>
    <xf numFmtId="0" fontId="18" fillId="0" borderId="0" xfId="0" applyFont="1" applyAlignment="1">
      <alignment vertical="center"/>
    </xf>
    <xf numFmtId="0" fontId="26" fillId="4" borderId="2" xfId="0" applyFont="1" applyFill="1" applyBorder="1" applyAlignment="1">
      <alignment horizontal="left" vertical="center"/>
    </xf>
    <xf numFmtId="0" fontId="27" fillId="13" borderId="2" xfId="0" applyFont="1" applyFill="1" applyBorder="1" applyAlignment="1">
      <alignment horizontal="left" vertical="center" wrapText="1"/>
    </xf>
    <xf numFmtId="0" fontId="18" fillId="0" borderId="0" xfId="0" applyFont="1" applyAlignment="1">
      <alignment vertical="center" wrapText="1"/>
    </xf>
    <xf numFmtId="0" fontId="27" fillId="19" borderId="2" xfId="0" applyFont="1" applyFill="1" applyBorder="1" applyAlignment="1">
      <alignment horizontal="left" vertical="center" wrapText="1"/>
    </xf>
    <xf numFmtId="0" fontId="27" fillId="6" borderId="2" xfId="0" applyFont="1" applyFill="1" applyBorder="1" applyAlignment="1">
      <alignment horizontal="left" vertical="center" wrapText="1"/>
    </xf>
    <xf numFmtId="0" fontId="26" fillId="10" borderId="2" xfId="0" applyFont="1" applyFill="1" applyBorder="1" applyAlignment="1">
      <alignment horizontal="left" vertical="center" wrapText="1"/>
    </xf>
    <xf numFmtId="0" fontId="26" fillId="9" borderId="2" xfId="0" applyFont="1" applyFill="1" applyBorder="1" applyAlignment="1">
      <alignment horizontal="left" vertical="center"/>
    </xf>
    <xf numFmtId="0" fontId="19" fillId="7" borderId="68" xfId="0" applyFont="1" applyFill="1" applyBorder="1" applyAlignment="1">
      <alignment horizontal="left" vertical="center"/>
    </xf>
    <xf numFmtId="0" fontId="26" fillId="0" borderId="43" xfId="0" applyFont="1" applyBorder="1" applyAlignment="1">
      <alignment horizontal="left" vertical="center"/>
    </xf>
    <xf numFmtId="0" fontId="18" fillId="0" borderId="0" xfId="0" applyFont="1" applyAlignment="1">
      <alignment horizontal="left" vertical="center" wrapText="1"/>
    </xf>
    <xf numFmtId="0" fontId="6" fillId="7" borderId="25" xfId="3" applyFill="1" applyBorder="1" applyAlignment="1" applyProtection="1">
      <alignment wrapText="1"/>
    </xf>
    <xf numFmtId="0" fontId="7" fillId="7" borderId="25" xfId="3" applyFont="1" applyFill="1" applyBorder="1" applyAlignment="1" applyProtection="1">
      <alignment wrapText="1"/>
    </xf>
    <xf numFmtId="0" fontId="0" fillId="7" borderId="49" xfId="0" applyFill="1" applyBorder="1"/>
    <xf numFmtId="0" fontId="0" fillId="7" borderId="10" xfId="0" applyFill="1" applyBorder="1"/>
    <xf numFmtId="0" fontId="9" fillId="7" borderId="10" xfId="0" applyFont="1" applyFill="1" applyBorder="1"/>
    <xf numFmtId="0" fontId="0" fillId="7" borderId="52" xfId="0" applyFill="1" applyBorder="1"/>
    <xf numFmtId="14" fontId="2" fillId="0" borderId="0" xfId="0" quotePrefix="1" applyNumberFormat="1" applyFont="1" applyAlignment="1">
      <alignment horizontal="center" vertical="center"/>
    </xf>
    <xf numFmtId="0" fontId="0" fillId="0" borderId="49" xfId="0" applyBorder="1" applyProtection="1">
      <protection locked="0"/>
    </xf>
    <xf numFmtId="0" fontId="0" fillId="0" borderId="10" xfId="0" applyBorder="1" applyProtection="1">
      <protection locked="0"/>
    </xf>
    <xf numFmtId="0" fontId="0" fillId="0" borderId="1" xfId="0" applyBorder="1" applyAlignment="1" applyProtection="1">
      <alignment horizontal="center" wrapText="1"/>
      <protection locked="0"/>
    </xf>
    <xf numFmtId="0" fontId="0" fillId="16" borderId="89" xfId="0" applyFill="1" applyBorder="1" applyAlignment="1" applyProtection="1">
      <alignment horizontal="center"/>
      <protection locked="0"/>
    </xf>
    <xf numFmtId="0" fontId="0" fillId="16" borderId="56" xfId="0" applyFill="1" applyBorder="1" applyAlignment="1" applyProtection="1">
      <alignment horizontal="center"/>
      <protection locked="0"/>
    </xf>
    <xf numFmtId="0" fontId="26" fillId="7" borderId="75" xfId="0" applyFont="1" applyFill="1" applyBorder="1"/>
    <xf numFmtId="0" fontId="2" fillId="7" borderId="0" xfId="0" applyFont="1" applyFill="1"/>
    <xf numFmtId="0" fontId="28" fillId="7" borderId="0" xfId="0" applyFont="1" applyFill="1" applyAlignment="1">
      <alignment horizontal="left" wrapText="1"/>
    </xf>
    <xf numFmtId="2" fontId="0" fillId="16" borderId="71" xfId="0" applyNumberFormat="1" applyFill="1" applyBorder="1" applyAlignment="1">
      <alignment horizontal="center"/>
    </xf>
    <xf numFmtId="0" fontId="18" fillId="7" borderId="0" xfId="0" applyFont="1" applyFill="1" applyAlignment="1">
      <alignment vertical="center" wrapText="1"/>
    </xf>
    <xf numFmtId="166" fontId="0" fillId="13" borderId="71" xfId="2" applyNumberFormat="1" applyFont="1" applyFill="1" applyBorder="1" applyAlignment="1">
      <alignment horizontal="center" vertical="center"/>
    </xf>
    <xf numFmtId="0" fontId="0" fillId="7" borderId="41" xfId="0" applyFill="1" applyBorder="1"/>
    <xf numFmtId="0" fontId="2" fillId="0" borderId="71" xfId="0" applyFont="1" applyBorder="1" applyAlignment="1">
      <alignment horizontal="center"/>
    </xf>
    <xf numFmtId="166" fontId="0" fillId="13" borderId="56" xfId="0" applyNumberFormat="1" applyFill="1" applyBorder="1" applyAlignment="1">
      <alignment horizontal="center"/>
    </xf>
    <xf numFmtId="166" fontId="0" fillId="13" borderId="89" xfId="0" applyNumberFormat="1" applyFill="1" applyBorder="1" applyAlignment="1">
      <alignment horizontal="center"/>
    </xf>
    <xf numFmtId="166" fontId="0" fillId="13" borderId="49" xfId="0" applyNumberFormat="1" applyFill="1" applyBorder="1" applyAlignment="1">
      <alignment horizontal="center"/>
    </xf>
    <xf numFmtId="0" fontId="2" fillId="0" borderId="63" xfId="0" applyFont="1" applyBorder="1" applyAlignment="1">
      <alignment horizontal="center"/>
    </xf>
    <xf numFmtId="166" fontId="0" fillId="13" borderId="21" xfId="0" applyNumberFormat="1" applyFill="1" applyBorder="1" applyAlignment="1">
      <alignment horizontal="center"/>
    </xf>
    <xf numFmtId="166" fontId="0" fillId="13" borderId="64" xfId="0" applyNumberFormat="1" applyFill="1" applyBorder="1" applyAlignment="1">
      <alignment horizontal="center"/>
    </xf>
    <xf numFmtId="0" fontId="0" fillId="7" borderId="0" xfId="0" applyFill="1" applyAlignment="1">
      <alignment wrapText="1"/>
    </xf>
    <xf numFmtId="166" fontId="0" fillId="13" borderId="36" xfId="0" applyNumberFormat="1" applyFill="1" applyBorder="1" applyAlignment="1">
      <alignment horizontal="center"/>
    </xf>
    <xf numFmtId="166" fontId="0" fillId="13" borderId="88" xfId="0" applyNumberFormat="1" applyFill="1" applyBorder="1" applyAlignment="1">
      <alignment horizontal="center"/>
    </xf>
    <xf numFmtId="166" fontId="2" fillId="13" borderId="63" xfId="2" applyNumberFormat="1" applyFont="1" applyFill="1" applyBorder="1" applyAlignment="1">
      <alignment horizontal="center" vertical="center"/>
    </xf>
    <xf numFmtId="164" fontId="0" fillId="7" borderId="0" xfId="2" applyNumberFormat="1" applyFont="1" applyFill="1" applyBorder="1" applyAlignment="1">
      <alignment horizontal="center" vertical="center"/>
    </xf>
    <xf numFmtId="0" fontId="6" fillId="7" borderId="25" xfId="3" quotePrefix="1" applyFill="1" applyBorder="1" applyAlignment="1" applyProtection="1">
      <alignment wrapText="1"/>
    </xf>
    <xf numFmtId="0" fontId="6" fillId="7" borderId="45" xfId="3" quotePrefix="1" applyFill="1" applyBorder="1" applyAlignment="1" applyProtection="1">
      <alignment wrapText="1"/>
    </xf>
    <xf numFmtId="0" fontId="35" fillId="7" borderId="0" xfId="0" applyFont="1" applyFill="1" applyAlignment="1">
      <alignment horizontal="left"/>
    </xf>
    <xf numFmtId="0" fontId="0" fillId="0" borderId="0" xfId="0" applyAlignment="1">
      <alignment horizontal="left" vertical="center" indent="1"/>
    </xf>
    <xf numFmtId="0" fontId="0" fillId="7" borderId="0" xfId="0" applyFill="1" applyAlignment="1">
      <alignment horizontal="left" vertical="center" indent="1"/>
    </xf>
    <xf numFmtId="0" fontId="2" fillId="7" borderId="0" xfId="0" applyFont="1" applyFill="1" applyAlignment="1">
      <alignment vertical="center"/>
    </xf>
    <xf numFmtId="0" fontId="26" fillId="7" borderId="0" xfId="0" applyFont="1" applyFill="1"/>
    <xf numFmtId="0" fontId="36" fillId="7" borderId="0" xfId="3" applyFont="1" applyFill="1" applyProtection="1"/>
    <xf numFmtId="0" fontId="0" fillId="0" borderId="0" xfId="0" applyAlignment="1">
      <alignment vertical="center" wrapText="1"/>
    </xf>
    <xf numFmtId="0" fontId="0" fillId="0" borderId="0" xfId="0" applyAlignment="1">
      <alignment horizontal="left" indent="2"/>
    </xf>
    <xf numFmtId="0" fontId="0" fillId="0" borderId="0" xfId="0" applyAlignment="1">
      <alignment horizontal="left" indent="1"/>
    </xf>
    <xf numFmtId="0" fontId="0" fillId="6" borderId="1" xfId="0" applyFill="1" applyBorder="1" applyProtection="1">
      <protection locked="0"/>
    </xf>
    <xf numFmtId="0" fontId="0" fillId="13" borderId="14" xfId="0" applyFill="1" applyBorder="1" applyAlignment="1" applyProtection="1">
      <alignment horizontal="center" wrapText="1"/>
      <protection locked="0"/>
    </xf>
    <xf numFmtId="2" fontId="0" fillId="0" borderId="48" xfId="0" applyNumberFormat="1" applyBorder="1" applyAlignment="1" applyProtection="1">
      <alignment horizontal="right" vertical="center"/>
      <protection locked="0"/>
    </xf>
    <xf numFmtId="0" fontId="0" fillId="7" borderId="46" xfId="0" applyFill="1" applyBorder="1"/>
    <xf numFmtId="0" fontId="0" fillId="7" borderId="5" xfId="0" applyFill="1" applyBorder="1"/>
    <xf numFmtId="0" fontId="0" fillId="7" borderId="53" xfId="0" applyFill="1" applyBorder="1"/>
    <xf numFmtId="0" fontId="0" fillId="16" borderId="71" xfId="0" applyFill="1" applyBorder="1" applyAlignment="1">
      <alignment horizontal="center" vertical="center"/>
    </xf>
    <xf numFmtId="0" fontId="0" fillId="7" borderId="54" xfId="0" applyFill="1" applyBorder="1"/>
    <xf numFmtId="0" fontId="0" fillId="13" borderId="71" xfId="2" applyNumberFormat="1" applyFont="1" applyFill="1" applyBorder="1" applyAlignment="1">
      <alignment horizontal="center" vertical="center"/>
    </xf>
    <xf numFmtId="0" fontId="2" fillId="7" borderId="55" xfId="0" applyFont="1" applyFill="1" applyBorder="1" applyAlignment="1">
      <alignment horizontal="center"/>
    </xf>
    <xf numFmtId="0" fontId="0" fillId="7" borderId="55" xfId="0" applyFill="1" applyBorder="1"/>
    <xf numFmtId="0" fontId="0" fillId="0" borderId="55" xfId="0" applyBorder="1"/>
    <xf numFmtId="0" fontId="2" fillId="0" borderId="9" xfId="0" applyFont="1" applyBorder="1" applyAlignment="1">
      <alignment horizontal="center"/>
    </xf>
    <xf numFmtId="0" fontId="0" fillId="16" borderId="59" xfId="0" applyFill="1" applyBorder="1" applyAlignment="1">
      <alignment horizontal="center"/>
    </xf>
    <xf numFmtId="0" fontId="2" fillId="7" borderId="54" xfId="0" applyFont="1" applyFill="1" applyBorder="1"/>
    <xf numFmtId="0" fontId="0" fillId="16" borderId="62" xfId="0" applyFill="1" applyBorder="1" applyAlignment="1">
      <alignment horizontal="center"/>
    </xf>
    <xf numFmtId="0" fontId="0" fillId="7" borderId="40" xfId="0" applyFill="1" applyBorder="1"/>
    <xf numFmtId="0" fontId="2" fillId="13" borderId="9" xfId="2" applyNumberFormat="1" applyFont="1" applyFill="1" applyBorder="1" applyAlignment="1">
      <alignment horizontal="center" vertical="center"/>
    </xf>
    <xf numFmtId="0" fontId="0" fillId="7" borderId="29" xfId="2" applyNumberFormat="1" applyFont="1" applyFill="1" applyBorder="1" applyAlignment="1">
      <alignment horizontal="center" vertical="center"/>
    </xf>
    <xf numFmtId="0" fontId="0" fillId="7" borderId="55" xfId="2" applyNumberFormat="1" applyFont="1" applyFill="1" applyBorder="1" applyAlignment="1">
      <alignment horizontal="right" vertical="center"/>
    </xf>
    <xf numFmtId="0" fontId="0" fillId="7" borderId="43" xfId="0" applyFill="1" applyBorder="1"/>
    <xf numFmtId="0" fontId="0" fillId="7" borderId="55" xfId="0" applyFill="1" applyBorder="1" applyAlignment="1">
      <alignment horizontal="right"/>
    </xf>
    <xf numFmtId="0" fontId="0" fillId="16" borderId="88" xfId="0" applyFill="1" applyBorder="1" applyAlignment="1" applyProtection="1">
      <alignment horizontal="center"/>
      <protection locked="0"/>
    </xf>
    <xf numFmtId="0" fontId="0" fillId="16" borderId="36" xfId="0" applyFill="1" applyBorder="1" applyAlignment="1" applyProtection="1">
      <alignment horizontal="center"/>
      <protection locked="0"/>
    </xf>
    <xf numFmtId="166" fontId="0" fillId="13" borderId="12" xfId="0" applyNumberFormat="1" applyFill="1" applyBorder="1" applyAlignment="1">
      <alignment horizontal="center"/>
    </xf>
    <xf numFmtId="0" fontId="0" fillId="0" borderId="19" xfId="0" applyBorder="1" applyAlignment="1">
      <alignment horizontal="left" vertical="center" wrapText="1"/>
    </xf>
    <xf numFmtId="0" fontId="0" fillId="0" borderId="19" xfId="0" applyBorder="1" applyAlignment="1">
      <alignment horizontal="left" vertical="top" wrapText="1"/>
    </xf>
    <xf numFmtId="0" fontId="0" fillId="13" borderId="11" xfId="0" applyFill="1" applyBorder="1" applyAlignment="1">
      <alignment horizontal="right" vertical="center" wrapText="1"/>
    </xf>
    <xf numFmtId="0" fontId="33" fillId="7" borderId="28" xfId="0" applyFont="1" applyFill="1" applyBorder="1" applyAlignment="1">
      <alignment horizontal="center" wrapText="1"/>
    </xf>
    <xf numFmtId="0" fontId="7" fillId="7" borderId="28" xfId="3" quotePrefix="1" applyFont="1" applyFill="1" applyBorder="1" applyAlignment="1" applyProtection="1">
      <alignment wrapText="1"/>
    </xf>
    <xf numFmtId="0" fontId="4" fillId="0" borderId="1" xfId="0" applyFont="1" applyBorder="1" applyAlignment="1">
      <alignment vertical="center" wrapText="1"/>
    </xf>
    <xf numFmtId="0" fontId="10" fillId="0" borderId="1" xfId="0" applyFont="1" applyBorder="1" applyAlignment="1">
      <alignment horizontal="center" vertical="center" wrapText="1"/>
    </xf>
    <xf numFmtId="0" fontId="6" fillId="0" borderId="1" xfId="3" applyFill="1" applyBorder="1" applyAlignment="1">
      <alignment horizontal="center" vertical="center"/>
    </xf>
    <xf numFmtId="0" fontId="6" fillId="0" borderId="2" xfId="3" applyFill="1" applyBorder="1" applyAlignment="1">
      <alignment horizontal="center" vertical="center"/>
    </xf>
    <xf numFmtId="0" fontId="6" fillId="0" borderId="11" xfId="3" applyFill="1" applyBorder="1" applyAlignment="1">
      <alignment horizontal="center" vertical="center"/>
    </xf>
    <xf numFmtId="0" fontId="0" fillId="0" borderId="11" xfId="0" applyBorder="1"/>
    <xf numFmtId="0" fontId="0" fillId="6" borderId="20" xfId="0" applyFill="1" applyBorder="1" applyProtection="1">
      <protection locked="0"/>
    </xf>
    <xf numFmtId="0" fontId="0" fillId="0" borderId="1" xfId="0" applyBorder="1" applyAlignment="1" applyProtection="1">
      <alignment wrapText="1"/>
      <protection locked="0"/>
    </xf>
    <xf numFmtId="0" fontId="0" fillId="0" borderId="11" xfId="0" applyBorder="1" applyAlignment="1">
      <alignment horizontal="center" vertical="center" wrapText="1"/>
    </xf>
    <xf numFmtId="0" fontId="0" fillId="19" borderId="11" xfId="0" applyFill="1" applyBorder="1" applyAlignment="1">
      <alignment horizontal="left" vertical="top" wrapText="1"/>
    </xf>
    <xf numFmtId="0" fontId="0" fillId="19" borderId="11" xfId="0" applyFill="1" applyBorder="1" applyAlignment="1">
      <alignment horizontal="left" vertical="center" wrapText="1"/>
    </xf>
    <xf numFmtId="0" fontId="0" fillId="19" borderId="11" xfId="0"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13" borderId="11" xfId="0" applyFill="1" applyBorder="1" applyAlignment="1" applyProtection="1">
      <alignment horizontal="center" wrapText="1"/>
      <protection locked="0"/>
    </xf>
    <xf numFmtId="0" fontId="0" fillId="0" borderId="20" xfId="0" applyBorder="1" applyAlignment="1" applyProtection="1">
      <alignment wrapText="1"/>
      <protection locked="0"/>
    </xf>
    <xf numFmtId="0" fontId="6" fillId="0" borderId="6" xfId="3" applyFill="1" applyBorder="1" applyAlignment="1">
      <alignment horizontal="center" vertical="center"/>
    </xf>
    <xf numFmtId="0" fontId="6" fillId="0" borderId="44" xfId="3" applyFill="1" applyBorder="1" applyAlignment="1">
      <alignment horizontal="center" vertical="center"/>
    </xf>
    <xf numFmtId="2" fontId="0" fillId="13" borderId="1" xfId="2" applyFont="1" applyFill="1" applyAlignment="1">
      <alignment horizontal="right" vertical="center"/>
    </xf>
    <xf numFmtId="0" fontId="10" fillId="0" borderId="18" xfId="0" applyFont="1" applyBorder="1" applyAlignment="1">
      <alignment horizontal="center" vertical="center" wrapText="1"/>
    </xf>
    <xf numFmtId="2" fontId="0" fillId="13" borderId="48" xfId="2" applyFont="1" applyFill="1" applyBorder="1" applyAlignment="1">
      <alignment horizontal="right" vertical="center"/>
    </xf>
    <xf numFmtId="9" fontId="1" fillId="13" borderId="51" xfId="1" applyFill="1" applyBorder="1" applyAlignment="1" applyProtection="1">
      <alignment horizontal="right"/>
    </xf>
    <xf numFmtId="9" fontId="0" fillId="7" borderId="66" xfId="1" applyFont="1" applyFill="1" applyBorder="1" applyAlignment="1" applyProtection="1">
      <alignment horizontal="right"/>
    </xf>
    <xf numFmtId="0" fontId="2" fillId="0" borderId="30" xfId="0" applyFont="1" applyBorder="1" applyAlignment="1">
      <alignment horizontal="center" vertical="center" wrapText="1"/>
    </xf>
    <xf numFmtId="0" fontId="2" fillId="0" borderId="85" xfId="0" applyFont="1" applyBorder="1" applyAlignment="1">
      <alignment horizontal="center" vertical="center" wrapText="1"/>
    </xf>
    <xf numFmtId="2" fontId="0" fillId="13" borderId="14" xfId="0" applyNumberFormat="1" applyFill="1" applyBorder="1" applyAlignment="1">
      <alignment horizontal="right" vertical="center" wrapText="1"/>
    </xf>
    <xf numFmtId="0" fontId="7"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0" fillId="7" borderId="2" xfId="0" applyFill="1" applyBorder="1" applyAlignment="1">
      <alignment horizontal="center" vertical="center"/>
    </xf>
    <xf numFmtId="0" fontId="4" fillId="19" borderId="30" xfId="0" applyFont="1" applyFill="1" applyBorder="1" applyAlignment="1">
      <alignment horizontal="left" vertical="center" wrapText="1"/>
    </xf>
    <xf numFmtId="0" fontId="17" fillId="0" borderId="30" xfId="0" applyFont="1" applyBorder="1" applyAlignment="1">
      <alignment vertical="center" wrapText="1"/>
    </xf>
    <xf numFmtId="0" fontId="0" fillId="0" borderId="49" xfId="0" applyBorder="1" applyAlignment="1">
      <alignment wrapText="1"/>
    </xf>
    <xf numFmtId="0" fontId="0" fillId="0" borderId="44" xfId="0" applyBorder="1" applyAlignment="1" applyProtection="1">
      <alignment horizontal="right" vertical="center" wrapText="1"/>
      <protection locked="0"/>
    </xf>
    <xf numFmtId="0" fontId="2" fillId="0" borderId="71" xfId="0" applyFont="1" applyBorder="1" applyAlignment="1">
      <alignment horizontal="center" vertical="center"/>
    </xf>
    <xf numFmtId="0" fontId="2" fillId="7" borderId="35" xfId="0" applyFont="1" applyFill="1" applyBorder="1" applyAlignment="1">
      <alignment horizontal="center" vertical="center"/>
    </xf>
    <xf numFmtId="0" fontId="2" fillId="7" borderId="71" xfId="0" applyFont="1" applyFill="1" applyBorder="1" applyAlignment="1">
      <alignment horizontal="center" vertical="center"/>
    </xf>
    <xf numFmtId="0" fontId="2" fillId="7" borderId="33" xfId="0" applyFont="1" applyFill="1" applyBorder="1" applyAlignment="1">
      <alignment horizontal="center" vertical="center"/>
    </xf>
    <xf numFmtId="0" fontId="33" fillId="6" borderId="62" xfId="0" applyFont="1" applyFill="1" applyBorder="1" applyAlignment="1">
      <alignment wrapText="1"/>
    </xf>
    <xf numFmtId="0" fontId="33" fillId="6" borderId="87" xfId="0" applyFont="1" applyFill="1" applyBorder="1" applyAlignment="1">
      <alignment wrapText="1"/>
    </xf>
    <xf numFmtId="0" fontId="2" fillId="6" borderId="67" xfId="0" applyFont="1" applyFill="1" applyBorder="1" applyAlignment="1">
      <alignment horizontal="center" vertical="center"/>
    </xf>
    <xf numFmtId="0" fontId="2" fillId="6" borderId="62" xfId="0" applyFont="1" applyFill="1" applyBorder="1" applyAlignment="1">
      <alignment horizontal="center" vertical="center"/>
    </xf>
    <xf numFmtId="0" fontId="0" fillId="6" borderId="62" xfId="0" applyFill="1" applyBorder="1"/>
    <xf numFmtId="0" fontId="0" fillId="6" borderId="59" xfId="0" applyFill="1" applyBorder="1"/>
    <xf numFmtId="0" fontId="0" fillId="0" borderId="50" xfId="0" applyBorder="1"/>
    <xf numFmtId="0" fontId="2" fillId="22" borderId="50" xfId="0" applyFont="1" applyFill="1" applyBorder="1" applyAlignment="1">
      <alignment horizontal="center" vertical="center" wrapText="1"/>
    </xf>
    <xf numFmtId="0" fontId="0" fillId="13" borderId="22" xfId="0" applyFill="1" applyBorder="1" applyAlignment="1">
      <alignment wrapText="1"/>
    </xf>
    <xf numFmtId="0" fontId="0" fillId="5" borderId="22" xfId="0" applyFill="1" applyBorder="1" applyAlignment="1">
      <alignment wrapText="1"/>
    </xf>
    <xf numFmtId="0" fontId="8" fillId="0" borderId="1" xfId="0" applyFont="1" applyBorder="1" applyAlignment="1">
      <alignment horizontal="center" vertical="center"/>
    </xf>
    <xf numFmtId="0" fontId="26" fillId="22" borderId="2" xfId="0" applyFont="1" applyFill="1" applyBorder="1" applyAlignment="1">
      <alignment horizontal="left" vertical="center"/>
    </xf>
    <xf numFmtId="0" fontId="18" fillId="0" borderId="0" xfId="0" applyFont="1" applyAlignment="1">
      <alignment horizontal="center"/>
    </xf>
    <xf numFmtId="0" fontId="32" fillId="7" borderId="25" xfId="3" quotePrefix="1" applyFont="1" applyFill="1" applyBorder="1" applyAlignment="1" applyProtection="1">
      <alignment horizontal="left" wrapText="1" indent="1"/>
    </xf>
    <xf numFmtId="0" fontId="7" fillId="7" borderId="52" xfId="3" applyFont="1" applyFill="1" applyBorder="1" applyProtection="1"/>
    <xf numFmtId="0" fontId="7" fillId="7" borderId="52" xfId="3" applyFont="1" applyFill="1" applyBorder="1" applyAlignment="1" applyProtection="1">
      <alignment wrapText="1"/>
    </xf>
    <xf numFmtId="0" fontId="6" fillId="7" borderId="49" xfId="3" quotePrefix="1" applyFill="1" applyBorder="1" applyAlignment="1" applyProtection="1">
      <alignment wrapText="1"/>
    </xf>
    <xf numFmtId="0" fontId="2" fillId="7" borderId="74" xfId="0" applyFont="1" applyFill="1" applyBorder="1" applyAlignment="1">
      <alignment horizontal="center" vertical="center"/>
    </xf>
    <xf numFmtId="0" fontId="33" fillId="0" borderId="87" xfId="0" applyFont="1" applyBorder="1" applyAlignment="1">
      <alignment horizontal="center" vertical="center"/>
    </xf>
    <xf numFmtId="0" fontId="2" fillId="7" borderId="87" xfId="0" applyFont="1" applyFill="1" applyBorder="1" applyAlignment="1">
      <alignment horizontal="center" vertical="center"/>
    </xf>
    <xf numFmtId="0" fontId="2" fillId="6" borderId="59" xfId="0" applyFont="1" applyFill="1" applyBorder="1" applyAlignment="1">
      <alignment horizontal="center" vertical="center"/>
    </xf>
    <xf numFmtId="0" fontId="2" fillId="0" borderId="87" xfId="0" applyFont="1" applyBorder="1" applyAlignment="1">
      <alignment horizontal="center" vertical="center"/>
    </xf>
    <xf numFmtId="0" fontId="2" fillId="7" borderId="89" xfId="0" applyFont="1" applyFill="1" applyBorder="1" applyAlignment="1">
      <alignment horizontal="center" vertical="center"/>
    </xf>
    <xf numFmtId="0" fontId="2" fillId="6" borderId="87" xfId="0" applyFont="1" applyFill="1" applyBorder="1" applyAlignment="1">
      <alignment horizontal="center" vertical="center"/>
    </xf>
    <xf numFmtId="0" fontId="0" fillId="13" borderId="87" xfId="0" applyFill="1" applyBorder="1">
      <extLst>
        <ext xmlns:xfpb="http://schemas.microsoft.com/office/spreadsheetml/2022/featurepropertybag" uri="{C7286773-470A-42A8-94C5-96B5CB345126}">
          <xfpb:xfComplement i="0"/>
        </ext>
      </extLst>
    </xf>
    <xf numFmtId="0" fontId="0" fillId="7" borderId="87" xfId="0" applyFill="1" applyBorder="1" applyProtection="1">
      <protection locked="0"/>
      <extLst>
        <ext xmlns:xfpb="http://schemas.microsoft.com/office/spreadsheetml/2022/featurepropertybag" uri="{C7286773-470A-42A8-94C5-96B5CB345126}">
          <xfpb:xfComplement i="0"/>
        </ext>
      </extLst>
    </xf>
    <xf numFmtId="0" fontId="0" fillId="6" borderId="67" xfId="0" applyFill="1" applyBorder="1" applyProtection="1">
      <protection locked="0"/>
    </xf>
    <xf numFmtId="0" fontId="0" fillId="7" borderId="74" xfId="0" applyFill="1" applyBorder="1" applyProtection="1">
      <protection locked="0"/>
      <extLst>
        <ext xmlns:xfpb="http://schemas.microsoft.com/office/spreadsheetml/2022/featurepropertybag" uri="{C7286773-470A-42A8-94C5-96B5CB345126}">
          <xfpb:xfComplement i="0"/>
        </ext>
      </extLst>
    </xf>
    <xf numFmtId="0" fontId="0" fillId="7" borderId="48" xfId="0" applyFill="1" applyBorder="1"/>
    <xf numFmtId="0" fontId="0" fillId="7" borderId="50" xfId="0" applyFill="1" applyBorder="1"/>
    <xf numFmtId="0" fontId="0" fillId="7" borderId="6" xfId="0" applyFill="1" applyBorder="1"/>
    <xf numFmtId="0" fontId="7" fillId="7" borderId="52" xfId="3" applyFont="1" applyFill="1" applyBorder="1"/>
    <xf numFmtId="0" fontId="6" fillId="7" borderId="25" xfId="3" applyFill="1" applyBorder="1" applyAlignment="1">
      <alignment wrapText="1"/>
    </xf>
    <xf numFmtId="0" fontId="7" fillId="7" borderId="52" xfId="3" applyFont="1" applyFill="1" applyBorder="1" applyAlignment="1">
      <alignment wrapText="1"/>
    </xf>
    <xf numFmtId="0" fontId="7" fillId="7" borderId="25" xfId="3" applyFont="1" applyFill="1" applyBorder="1" applyAlignment="1">
      <alignment wrapText="1"/>
    </xf>
    <xf numFmtId="0" fontId="6" fillId="7" borderId="25" xfId="3" quotePrefix="1" applyFill="1" applyBorder="1" applyAlignment="1">
      <alignment wrapText="1"/>
    </xf>
    <xf numFmtId="0" fontId="32" fillId="7" borderId="25" xfId="3" quotePrefix="1" applyFont="1" applyFill="1" applyBorder="1" applyAlignment="1">
      <alignment horizontal="left" wrapText="1" indent="1"/>
    </xf>
    <xf numFmtId="0" fontId="6" fillId="7" borderId="45" xfId="3" quotePrefix="1" applyFill="1" applyBorder="1" applyAlignment="1">
      <alignment wrapText="1"/>
    </xf>
    <xf numFmtId="0" fontId="6" fillId="7" borderId="49" xfId="3" quotePrefix="1" applyFill="1" applyBorder="1" applyAlignment="1">
      <alignment wrapText="1"/>
    </xf>
    <xf numFmtId="0" fontId="7" fillId="7" borderId="28" xfId="3" quotePrefix="1" applyFont="1" applyFill="1" applyBorder="1" applyAlignment="1">
      <alignment wrapText="1"/>
    </xf>
    <xf numFmtId="0" fontId="2" fillId="23" borderId="62" xfId="0" applyFont="1" applyFill="1" applyBorder="1" applyAlignment="1">
      <alignment horizontal="center" vertical="center"/>
    </xf>
    <xf numFmtId="0" fontId="2" fillId="23" borderId="87" xfId="0" applyFont="1" applyFill="1" applyBorder="1" applyAlignment="1">
      <alignment horizontal="center" vertical="center"/>
    </xf>
    <xf numFmtId="0" fontId="2" fillId="23" borderId="59" xfId="0" applyFont="1" applyFill="1" applyBorder="1" applyAlignment="1">
      <alignment horizontal="center" vertical="center"/>
    </xf>
    <xf numFmtId="0" fontId="2" fillId="23" borderId="74" xfId="0" applyFont="1" applyFill="1" applyBorder="1" applyAlignment="1">
      <alignment horizontal="center" vertical="center"/>
    </xf>
    <xf numFmtId="0" fontId="2" fillId="23" borderId="89" xfId="0" applyFont="1" applyFill="1" applyBorder="1" applyAlignment="1">
      <alignment horizontal="center" vertical="center"/>
    </xf>
    <xf numFmtId="0" fontId="2" fillId="23" borderId="67" xfId="0" applyFont="1" applyFill="1" applyBorder="1" applyAlignment="1">
      <alignment horizontal="center" vertical="center"/>
    </xf>
    <xf numFmtId="0" fontId="0" fillId="7" borderId="87" xfId="0" applyFill="1" applyBorder="1" applyAlignment="1">
      <alignment wrapText="1"/>
      <extLst>
        <ext xmlns:xfpb="http://schemas.microsoft.com/office/spreadsheetml/2022/featurepropertybag" uri="{C7286773-470A-42A8-94C5-96B5CB345126}">
          <xfpb:xfComplement i="0"/>
        </ext>
      </extLst>
    </xf>
    <xf numFmtId="0" fontId="0" fillId="7" borderId="87" xfId="0" applyFill="1" applyBorder="1">
      <extLst>
        <ext xmlns:xfpb="http://schemas.microsoft.com/office/spreadsheetml/2022/featurepropertybag" uri="{C7286773-470A-42A8-94C5-96B5CB345126}">
          <xfpb:xfComplement i="0"/>
        </ext>
      </extLst>
    </xf>
    <xf numFmtId="0" fontId="2" fillId="7" borderId="62" xfId="0" applyFont="1" applyFill="1" applyBorder="1" applyAlignment="1">
      <alignment horizontal="center" vertical="center"/>
    </xf>
    <xf numFmtId="0" fontId="0" fillId="7" borderId="62" xfId="0" applyFill="1" applyBorder="1"/>
    <xf numFmtId="0" fontId="0" fillId="7" borderId="59" xfId="0" applyFill="1" applyBorder="1"/>
    <xf numFmtId="0" fontId="0" fillId="7" borderId="67" xfId="0" applyFill="1" applyBorder="1" applyProtection="1">
      <protection locked="0"/>
    </xf>
    <xf numFmtId="0" fontId="0" fillId="6" borderId="14" xfId="0" applyFill="1" applyBorder="1" applyAlignment="1" applyProtection="1">
      <alignment horizontal="left" vertical="top"/>
      <protection locked="0"/>
    </xf>
    <xf numFmtId="0" fontId="6" fillId="0" borderId="48" xfId="3" applyFill="1" applyBorder="1" applyAlignment="1">
      <alignment horizontal="center" vertical="center"/>
    </xf>
    <xf numFmtId="0" fontId="10" fillId="0" borderId="46" xfId="0" applyFont="1" applyBorder="1" applyAlignment="1">
      <alignment horizontal="center" vertical="center" wrapText="1"/>
    </xf>
    <xf numFmtId="0" fontId="26" fillId="7" borderId="28" xfId="0" applyFont="1" applyFill="1" applyBorder="1" applyAlignment="1">
      <alignment horizontal="center"/>
    </xf>
    <xf numFmtId="0" fontId="26" fillId="7" borderId="31" xfId="0" applyFont="1" applyFill="1" applyBorder="1" applyAlignment="1">
      <alignment horizontal="center"/>
    </xf>
    <xf numFmtId="0" fontId="34" fillId="7" borderId="49" xfId="0" applyFont="1" applyFill="1" applyBorder="1" applyAlignment="1">
      <alignment horizontal="center"/>
    </xf>
    <xf numFmtId="0" fontId="34" fillId="7" borderId="89" xfId="0" applyFont="1" applyFill="1" applyBorder="1" applyAlignment="1">
      <alignment horizontal="center"/>
    </xf>
    <xf numFmtId="0" fontId="34" fillId="0" borderId="89" xfId="0" quotePrefix="1" applyFont="1" applyBorder="1" applyAlignment="1">
      <alignment horizontal="center" wrapText="1"/>
    </xf>
    <xf numFmtId="0" fontId="0" fillId="0" borderId="57" xfId="0" applyBorder="1"/>
    <xf numFmtId="0" fontId="0" fillId="6" borderId="20" xfId="0" applyFill="1" applyBorder="1" applyAlignment="1" applyProtection="1">
      <alignment horizontal="center" vertical="center"/>
      <protection locked="0"/>
    </xf>
    <xf numFmtId="0" fontId="0" fillId="6" borderId="14" xfId="0" applyFill="1" applyBorder="1" applyAlignment="1" applyProtection="1">
      <alignment horizontal="center" vertical="center"/>
      <protection locked="0"/>
    </xf>
    <xf numFmtId="0" fontId="40" fillId="0" borderId="87" xfId="0" applyFont="1" applyBorder="1" applyAlignment="1">
      <alignment horizontal="center" vertical="center"/>
    </xf>
    <xf numFmtId="0" fontId="41" fillId="7" borderId="15" xfId="0" applyFont="1" applyFill="1" applyBorder="1" applyAlignment="1">
      <alignment horizontal="center" vertical="center"/>
    </xf>
    <xf numFmtId="0" fontId="41" fillId="7" borderId="59" xfId="0" applyFont="1" applyFill="1" applyBorder="1" applyAlignment="1">
      <alignment horizontal="center" vertical="center"/>
    </xf>
    <xf numFmtId="0" fontId="41" fillId="0" borderId="59" xfId="0" quotePrefix="1" applyFont="1" applyBorder="1" applyAlignment="1">
      <alignment horizontal="center" vertical="center" wrapText="1"/>
    </xf>
    <xf numFmtId="0" fontId="2" fillId="7" borderId="25" xfId="0" applyFont="1" applyFill="1" applyBorder="1" applyAlignment="1">
      <alignment vertical="center" wrapText="1"/>
    </xf>
    <xf numFmtId="0" fontId="32" fillId="7" borderId="25" xfId="3" applyFont="1" applyFill="1" applyBorder="1" applyAlignment="1" applyProtection="1">
      <alignment horizontal="left" wrapText="1" indent="1"/>
    </xf>
    <xf numFmtId="0" fontId="0" fillId="6" borderId="87" xfId="0" applyFill="1" applyBorder="1" applyAlignment="1">
      <alignment horizontal="left" vertical="center"/>
    </xf>
    <xf numFmtId="0" fontId="32" fillId="7" borderId="25" xfId="3" quotePrefix="1" applyFont="1" applyFill="1" applyBorder="1" applyAlignment="1" applyProtection="1">
      <alignment horizontal="left" vertical="center" wrapText="1"/>
    </xf>
    <xf numFmtId="0" fontId="0" fillId="0" borderId="87" xfId="0"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7" borderId="87"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2" fillId="7" borderId="25" xfId="3" quotePrefix="1" applyFont="1" applyFill="1" applyBorder="1" applyAlignment="1">
      <alignment horizontal="left" vertical="center" wrapText="1" indent="1"/>
    </xf>
    <xf numFmtId="0" fontId="32" fillId="7" borderId="25" xfId="3" applyFont="1" applyFill="1" applyBorder="1" applyAlignment="1" applyProtection="1">
      <alignment horizontal="left" vertical="center" wrapText="1" indent="1"/>
    </xf>
    <xf numFmtId="0" fontId="32" fillId="7" borderId="25" xfId="3" quotePrefix="1" applyFont="1" applyFill="1" applyBorder="1" applyAlignment="1" applyProtection="1">
      <alignment horizontal="left" vertical="center" wrapText="1" indent="1"/>
    </xf>
    <xf numFmtId="0" fontId="6" fillId="7" borderId="25" xfId="3" applyFill="1" applyBorder="1" applyAlignment="1" applyProtection="1">
      <alignment vertical="center" wrapText="1"/>
    </xf>
    <xf numFmtId="0" fontId="0" fillId="13" borderId="87" xfId="0" applyFill="1" applyBorder="1" applyAlignment="1">
      <alignment vertical="center"/>
      <extLst>
        <ext xmlns:xfpb="http://schemas.microsoft.com/office/spreadsheetml/2022/featurepropertybag" uri="{C7286773-470A-42A8-94C5-96B5CB345126}">
          <xfpb:xfComplement i="0"/>
        </ext>
      </extLst>
    </xf>
    <xf numFmtId="0" fontId="0" fillId="7" borderId="0" xfId="0" applyFill="1" applyAlignment="1">
      <alignment vertical="center"/>
    </xf>
    <xf numFmtId="0" fontId="0" fillId="13" borderId="87" xfId="0" applyFill="1" applyBorder="1" applyAlignment="1">
      <alignment vertical="center" wrapText="1"/>
      <extLst>
        <ext xmlns:xfpb="http://schemas.microsoft.com/office/spreadsheetml/2022/featurepropertybag" uri="{C7286773-470A-42A8-94C5-96B5CB345126}">
          <xfpb:xfComplement i="0"/>
        </ext>
      </extLst>
    </xf>
    <xf numFmtId="0" fontId="0" fillId="7" borderId="87"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25" xfId="0" applyFont="1" applyBorder="1" applyAlignment="1">
      <alignment vertical="center"/>
    </xf>
    <xf numFmtId="0" fontId="2" fillId="7" borderId="25" xfId="0" applyFont="1" applyFill="1" applyBorder="1" applyAlignment="1">
      <alignment vertical="center"/>
    </xf>
    <xf numFmtId="0" fontId="0" fillId="7" borderId="86" xfId="0" applyFill="1" applyBorder="1" applyAlignment="1">
      <alignment vertical="center" wrapText="1"/>
    </xf>
    <xf numFmtId="0" fontId="6" fillId="7" borderId="25" xfId="3" quotePrefix="1" applyFill="1" applyBorder="1" applyAlignment="1" applyProtection="1">
      <alignment horizontal="left" vertical="center" wrapText="1"/>
    </xf>
    <xf numFmtId="0" fontId="32" fillId="7" borderId="25" xfId="3" quotePrefix="1" applyFont="1" applyFill="1" applyBorder="1" applyAlignment="1">
      <alignment horizontal="left" wrapText="1"/>
    </xf>
    <xf numFmtId="0" fontId="6" fillId="7" borderId="25" xfId="3" quotePrefix="1" applyFill="1" applyBorder="1" applyAlignment="1">
      <alignment horizontal="left" wrapText="1"/>
    </xf>
    <xf numFmtId="0" fontId="0" fillId="0" borderId="0" xfId="0"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wrapText="1"/>
    </xf>
    <xf numFmtId="0" fontId="0" fillId="0" borderId="1" xfId="0" applyBorder="1" applyAlignment="1">
      <alignment horizontal="center" wrapText="1"/>
    </xf>
    <xf numFmtId="0" fontId="0" fillId="0" borderId="1" xfId="0" quotePrefix="1" applyBorder="1" applyAlignment="1">
      <alignment horizontal="center" vertical="center" wrapText="1"/>
    </xf>
    <xf numFmtId="0" fontId="0" fillId="0" borderId="0" xfId="0" quotePrefix="1" applyAlignment="1">
      <alignment horizontal="left" vertical="center" wrapText="1"/>
    </xf>
    <xf numFmtId="0" fontId="0" fillId="0" borderId="0" xfId="0" applyAlignment="1">
      <alignment horizontal="left" wrapText="1"/>
    </xf>
    <xf numFmtId="0" fontId="9" fillId="0" borderId="0" xfId="0" applyFont="1" applyAlignment="1">
      <alignment horizontal="left" vertical="top" wrapText="1"/>
    </xf>
    <xf numFmtId="0" fontId="0" fillId="0" borderId="22" xfId="0" applyBorder="1" applyAlignment="1">
      <alignment horizontal="left" vertical="center" wrapText="1"/>
    </xf>
    <xf numFmtId="0" fontId="0" fillId="0" borderId="22" xfId="0" quotePrefix="1" applyBorder="1" applyAlignment="1">
      <alignment horizontal="left" vertical="center" wrapText="1"/>
    </xf>
    <xf numFmtId="0" fontId="0" fillId="0" borderId="22" xfId="0" applyBorder="1" applyAlignment="1">
      <alignment horizontal="left" wrapText="1"/>
    </xf>
    <xf numFmtId="0" fontId="9" fillId="0" borderId="22" xfId="0" applyFont="1" applyBorder="1" applyAlignment="1">
      <alignment horizontal="left" vertical="top" wrapText="1"/>
    </xf>
    <xf numFmtId="0" fontId="0" fillId="0" borderId="22" xfId="0" applyBorder="1" applyAlignment="1">
      <alignment wrapText="1"/>
    </xf>
    <xf numFmtId="0" fontId="38" fillId="0" borderId="0" xfId="0" applyFont="1" applyAlignment="1">
      <alignment wrapText="1"/>
    </xf>
    <xf numFmtId="0" fontId="38" fillId="0" borderId="0" xfId="0" applyFont="1" applyAlignment="1">
      <alignment vertical="center" wrapText="1"/>
    </xf>
    <xf numFmtId="0" fontId="0" fillId="0" borderId="18" xfId="0" applyBorder="1" applyAlignment="1">
      <alignment vertical="center" wrapText="1"/>
    </xf>
    <xf numFmtId="0" fontId="38" fillId="0" borderId="22" xfId="0" applyFont="1" applyBorder="1" applyAlignment="1">
      <alignment wrapText="1"/>
    </xf>
    <xf numFmtId="165" fontId="1" fillId="16" borderId="1" xfId="2" applyNumberFormat="1" applyFill="1" applyAlignment="1" applyProtection="1">
      <alignment horizontal="center" vertical="center"/>
      <protection locked="0"/>
    </xf>
    <xf numFmtId="0" fontId="0" fillId="16" borderId="8" xfId="0" applyFill="1" applyBorder="1" applyAlignment="1" applyProtection="1">
      <alignment horizontal="center"/>
      <protection locked="0"/>
    </xf>
    <xf numFmtId="0" fontId="0" fillId="16" borderId="9" xfId="0" applyFill="1" applyBorder="1" applyAlignment="1" applyProtection="1">
      <alignment horizontal="center"/>
      <protection locked="0"/>
    </xf>
    <xf numFmtId="165" fontId="1" fillId="16" borderId="20" xfId="2" applyNumberFormat="1" applyFill="1" applyBorder="1" applyAlignment="1" applyProtection="1">
      <alignment horizontal="center" vertical="center"/>
      <protection locked="0"/>
    </xf>
    <xf numFmtId="167" fontId="1" fillId="13" borderId="14" xfId="2" applyNumberFormat="1" applyFill="1" applyBorder="1" applyAlignment="1">
      <alignment horizontal="center" vertical="center"/>
    </xf>
    <xf numFmtId="167" fontId="1" fillId="13" borderId="11" xfId="2" applyNumberFormat="1" applyFill="1" applyBorder="1" applyAlignment="1">
      <alignment horizontal="center" vertical="center"/>
    </xf>
    <xf numFmtId="165" fontId="1" fillId="7" borderId="22" xfId="2" applyNumberFormat="1" applyFill="1" applyBorder="1" applyAlignment="1">
      <alignment horizontal="center" vertical="center"/>
    </xf>
    <xf numFmtId="165" fontId="1" fillId="13" borderId="14" xfId="2" applyNumberFormat="1" applyFill="1" applyBorder="1" applyAlignment="1">
      <alignment horizontal="center" vertical="center"/>
    </xf>
    <xf numFmtId="166" fontId="1" fillId="13" borderId="14" xfId="2" applyNumberFormat="1" applyFill="1" applyBorder="1" applyAlignment="1">
      <alignment horizontal="center" vertical="center"/>
    </xf>
    <xf numFmtId="0" fontId="0" fillId="18" borderId="6" xfId="0" applyFill="1" applyBorder="1" applyAlignment="1">
      <alignment horizontal="center"/>
    </xf>
    <xf numFmtId="167" fontId="1" fillId="13" borderId="44" xfId="2" applyNumberFormat="1" applyFill="1" applyBorder="1" applyAlignment="1">
      <alignment horizontal="center" vertical="center"/>
    </xf>
    <xf numFmtId="0" fontId="0" fillId="24" borderId="0" xfId="0" applyFill="1"/>
    <xf numFmtId="0" fontId="42" fillId="24" borderId="0" xfId="0" applyFont="1" applyFill="1" applyAlignment="1">
      <alignment vertical="top"/>
    </xf>
    <xf numFmtId="0" fontId="0" fillId="0" borderId="5" xfId="0" applyBorder="1"/>
    <xf numFmtId="0" fontId="42" fillId="24" borderId="25" xfId="0" applyFont="1" applyFill="1" applyBorder="1" applyAlignment="1">
      <alignment vertical="top"/>
    </xf>
    <xf numFmtId="0" fontId="45" fillId="23" borderId="63" xfId="0" applyFont="1" applyFill="1" applyBorder="1" applyAlignment="1">
      <alignment horizontal="right"/>
    </xf>
    <xf numFmtId="0" fontId="44" fillId="24" borderId="0" xfId="0" applyFont="1" applyFill="1" applyAlignment="1">
      <alignment vertical="top"/>
    </xf>
    <xf numFmtId="0" fontId="2" fillId="0" borderId="71" xfId="0" applyFont="1" applyBorder="1" applyAlignment="1">
      <alignment wrapText="1"/>
    </xf>
    <xf numFmtId="0" fontId="0" fillId="0" borderId="6" xfId="0" applyBorder="1" applyAlignment="1">
      <alignment wrapText="1"/>
    </xf>
    <xf numFmtId="0" fontId="0" fillId="0" borderId="1" xfId="0" applyBorder="1" applyAlignment="1">
      <alignment wrapText="1"/>
    </xf>
    <xf numFmtId="0" fontId="0" fillId="0" borderId="44" xfId="0" applyBorder="1" applyAlignment="1">
      <alignment wrapText="1"/>
    </xf>
    <xf numFmtId="0" fontId="0" fillId="0" borderId="11" xfId="0" applyBorder="1" applyAlignment="1">
      <alignment wrapText="1"/>
    </xf>
    <xf numFmtId="0" fontId="0" fillId="0" borderId="20" xfId="0" applyBorder="1" applyAlignment="1">
      <alignment wrapText="1"/>
    </xf>
    <xf numFmtId="0" fontId="0" fillId="0" borderId="14" xfId="0" applyBorder="1" applyAlignment="1">
      <alignment wrapText="1"/>
    </xf>
    <xf numFmtId="0" fontId="2" fillId="0" borderId="35" xfId="0" applyFont="1" applyBorder="1" applyAlignment="1">
      <alignment wrapText="1"/>
    </xf>
    <xf numFmtId="0" fontId="0" fillId="0" borderId="40" xfId="0" applyBorder="1" applyAlignment="1">
      <alignment wrapText="1"/>
    </xf>
    <xf numFmtId="0" fontId="0" fillId="0" borderId="4" xfId="0" applyBorder="1" applyAlignment="1">
      <alignment wrapText="1"/>
    </xf>
    <xf numFmtId="0" fontId="0" fillId="0" borderId="13" xfId="0" applyBorder="1" applyAlignment="1">
      <alignment wrapText="1"/>
    </xf>
    <xf numFmtId="0" fontId="2" fillId="6" borderId="71" xfId="0" applyFont="1" applyFill="1" applyBorder="1" applyAlignment="1">
      <alignment horizontal="center"/>
    </xf>
    <xf numFmtId="0" fontId="0" fillId="7" borderId="0" xfId="0" applyFill="1" applyAlignment="1">
      <alignment vertical="center" wrapText="1"/>
    </xf>
    <xf numFmtId="0" fontId="16" fillId="7" borderId="0" xfId="0" applyFont="1" applyFill="1"/>
    <xf numFmtId="0" fontId="0" fillId="6" borderId="34" xfId="0" applyFill="1" applyBorder="1"/>
    <xf numFmtId="0" fontId="0" fillId="6" borderId="35" xfId="0" applyFill="1" applyBorder="1"/>
    <xf numFmtId="0" fontId="33" fillId="7" borderId="0" xfId="0" applyFont="1" applyFill="1" applyAlignment="1">
      <alignment vertical="center" wrapText="1"/>
    </xf>
    <xf numFmtId="0" fontId="33" fillId="7" borderId="29" xfId="0" applyFont="1" applyFill="1" applyBorder="1" applyAlignment="1">
      <alignment vertical="center" wrapText="1"/>
    </xf>
    <xf numFmtId="0" fontId="0" fillId="0" borderId="34" xfId="0" applyBorder="1"/>
    <xf numFmtId="0" fontId="9" fillId="23" borderId="1" xfId="0" applyFont="1" applyFill="1" applyBorder="1" applyAlignment="1">
      <alignment wrapText="1"/>
    </xf>
    <xf numFmtId="0" fontId="0" fillId="23" borderId="1" xfId="0" applyFill="1" applyBorder="1" applyAlignment="1">
      <alignment wrapText="1"/>
    </xf>
    <xf numFmtId="14" fontId="16" fillId="0" borderId="0" xfId="0" applyNumberFormat="1" applyFont="1" applyAlignment="1">
      <alignment horizontal="left"/>
    </xf>
    <xf numFmtId="0" fontId="0" fillId="0" borderId="22" xfId="0" applyBorder="1" applyAlignment="1">
      <alignment vertical="center" wrapText="1"/>
    </xf>
    <xf numFmtId="0" fontId="0" fillId="0" borderId="34" xfId="0" applyBorder="1" applyAlignment="1">
      <alignment wrapText="1"/>
    </xf>
    <xf numFmtId="0" fontId="0" fillId="0" borderId="29" xfId="0" applyBorder="1" applyAlignment="1">
      <alignment wrapText="1"/>
    </xf>
    <xf numFmtId="0" fontId="0" fillId="0" borderId="29" xfId="0" quotePrefix="1" applyBorder="1" applyAlignment="1">
      <alignment horizontal="left" vertical="center" wrapText="1"/>
    </xf>
    <xf numFmtId="0" fontId="6" fillId="0" borderId="0" xfId="3" applyFill="1" applyProtection="1"/>
    <xf numFmtId="0" fontId="0" fillId="7" borderId="30" xfId="0" applyFill="1" applyBorder="1"/>
    <xf numFmtId="0" fontId="0" fillId="26" borderId="0" xfId="0" applyFill="1"/>
    <xf numFmtId="0" fontId="0" fillId="26" borderId="50" xfId="0" applyFill="1" applyBorder="1"/>
    <xf numFmtId="0" fontId="47" fillId="25" borderId="35" xfId="0" applyFont="1" applyFill="1" applyBorder="1" applyAlignment="1">
      <alignment vertical="center" wrapText="1"/>
    </xf>
    <xf numFmtId="0" fontId="48" fillId="23" borderId="79" xfId="0" applyFont="1" applyFill="1" applyBorder="1" applyAlignment="1">
      <alignment horizontal="right" vertical="center"/>
    </xf>
    <xf numFmtId="0" fontId="47" fillId="25" borderId="71" xfId="0" applyFont="1" applyFill="1" applyBorder="1" applyAlignment="1">
      <alignment vertical="center" wrapText="1"/>
    </xf>
    <xf numFmtId="0" fontId="0" fillId="6" borderId="71" xfId="0" applyFill="1" applyBorder="1"/>
    <xf numFmtId="0" fontId="0" fillId="7" borderId="64" xfId="0" applyFill="1" applyBorder="1" applyProtection="1">
      <protection locked="0"/>
    </xf>
    <xf numFmtId="0" fontId="0" fillId="0" borderId="56" xfId="0" applyBorder="1" applyProtection="1">
      <protection locked="0"/>
    </xf>
    <xf numFmtId="0" fontId="0" fillId="7" borderId="88" xfId="0" applyFill="1" applyBorder="1" applyProtection="1">
      <protection locked="0"/>
    </xf>
    <xf numFmtId="0" fontId="0" fillId="7" borderId="89" xfId="0" applyFill="1" applyBorder="1" applyProtection="1">
      <protection locked="0"/>
    </xf>
    <xf numFmtId="0" fontId="43" fillId="7" borderId="28" xfId="0" applyFont="1" applyFill="1" applyBorder="1" applyAlignment="1">
      <alignment horizontal="center"/>
    </xf>
    <xf numFmtId="0" fontId="43" fillId="7" borderId="29" xfId="0" applyFont="1" applyFill="1" applyBorder="1" applyAlignment="1">
      <alignment horizontal="center"/>
    </xf>
    <xf numFmtId="0" fontId="43" fillId="7" borderId="31" xfId="0" applyFont="1" applyFill="1" applyBorder="1" applyAlignment="1">
      <alignment horizontal="center"/>
    </xf>
    <xf numFmtId="0" fontId="18" fillId="7" borderId="49" xfId="0" applyFont="1" applyFill="1" applyBorder="1" applyAlignment="1">
      <alignment horizontal="center" vertical="top" wrapText="1"/>
    </xf>
    <xf numFmtId="0" fontId="18" fillId="7" borderId="41" xfId="0" applyFont="1" applyFill="1" applyBorder="1" applyAlignment="1">
      <alignment horizontal="center" vertical="top" wrapText="1"/>
    </xf>
    <xf numFmtId="0" fontId="18" fillId="7" borderId="56" xfId="0" applyFont="1" applyFill="1" applyBorder="1" applyAlignment="1">
      <alignment horizontal="center" vertical="top" wrapText="1"/>
    </xf>
    <xf numFmtId="0" fontId="33" fillId="25" borderId="12" xfId="0" applyFont="1" applyFill="1" applyBorder="1" applyAlignment="1" applyProtection="1">
      <alignment horizontal="center" vertical="center" wrapText="1"/>
      <protection locked="0"/>
    </xf>
    <xf numFmtId="0" fontId="33" fillId="25" borderId="27" xfId="0" applyFont="1" applyFill="1" applyBorder="1" applyAlignment="1" applyProtection="1">
      <alignment horizontal="center" vertical="center" wrapText="1"/>
      <protection locked="0"/>
    </xf>
    <xf numFmtId="14" fontId="16" fillId="0" borderId="0" xfId="0" applyNumberFormat="1" applyFont="1" applyAlignment="1">
      <alignment horizontal="center" wrapText="1"/>
    </xf>
    <xf numFmtId="0" fontId="19" fillId="11" borderId="2" xfId="0" applyFont="1" applyFill="1" applyBorder="1" applyAlignment="1">
      <alignment horizontal="left" vertical="center" wrapText="1"/>
    </xf>
    <xf numFmtId="0" fontId="19" fillId="11" borderId="3" xfId="0" applyFont="1" applyFill="1" applyBorder="1" applyAlignment="1">
      <alignment horizontal="left" vertical="center" wrapText="1"/>
    </xf>
    <xf numFmtId="0" fontId="19" fillId="11" borderId="4" xfId="0" applyFont="1" applyFill="1" applyBorder="1" applyAlignment="1">
      <alignment horizontal="left" vertical="center" wrapText="1"/>
    </xf>
    <xf numFmtId="0" fontId="18" fillId="11" borderId="55" xfId="0" applyFont="1" applyFill="1" applyBorder="1" applyAlignment="1">
      <alignment horizontal="left" vertical="center" wrapText="1"/>
    </xf>
    <xf numFmtId="0" fontId="18" fillId="11" borderId="0" xfId="0" applyFont="1" applyFill="1" applyAlignment="1">
      <alignment horizontal="left" vertical="center" wrapText="1"/>
    </xf>
    <xf numFmtId="0" fontId="18" fillId="11" borderId="54" xfId="0" applyFont="1" applyFill="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8" fillId="11" borderId="43" xfId="0" applyFont="1" applyFill="1" applyBorder="1" applyAlignment="1">
      <alignment horizontal="left" vertical="top" wrapText="1"/>
    </xf>
    <xf numFmtId="0" fontId="18" fillId="11" borderId="41" xfId="0" applyFont="1" applyFill="1" applyBorder="1" applyAlignment="1">
      <alignment horizontal="left" vertical="top" wrapText="1"/>
    </xf>
    <xf numFmtId="0" fontId="18" fillId="11" borderId="40" xfId="0" applyFont="1" applyFill="1" applyBorder="1" applyAlignment="1">
      <alignment horizontal="left" vertical="top" wrapText="1"/>
    </xf>
    <xf numFmtId="0" fontId="19" fillId="11" borderId="55" xfId="0" applyFont="1" applyFill="1" applyBorder="1" applyAlignment="1">
      <alignment horizontal="left" wrapText="1"/>
    </xf>
    <xf numFmtId="0" fontId="19" fillId="11" borderId="0" xfId="0" applyFont="1" applyFill="1" applyAlignment="1">
      <alignment horizontal="left" wrapText="1"/>
    </xf>
    <xf numFmtId="0" fontId="19" fillId="11" borderId="54" xfId="0" applyFont="1" applyFill="1" applyBorder="1" applyAlignment="1">
      <alignment horizontal="left" wrapText="1"/>
    </xf>
    <xf numFmtId="0" fontId="19" fillId="11" borderId="43" xfId="0" applyFont="1" applyFill="1" applyBorder="1" applyAlignment="1">
      <alignment horizontal="left" wrapText="1"/>
    </xf>
    <xf numFmtId="0" fontId="19" fillId="11" borderId="41" xfId="0" applyFont="1" applyFill="1" applyBorder="1" applyAlignment="1">
      <alignment horizontal="left" wrapText="1"/>
    </xf>
    <xf numFmtId="0" fontId="19" fillId="11" borderId="40" xfId="0" applyFont="1" applyFill="1" applyBorder="1" applyAlignment="1">
      <alignment horizontal="left" wrapText="1"/>
    </xf>
    <xf numFmtId="0" fontId="0" fillId="0" borderId="46" xfId="0" applyBorder="1" applyAlignment="1">
      <alignment horizontal="center"/>
    </xf>
    <xf numFmtId="0" fontId="0" fillId="0" borderId="5" xfId="0" applyBorder="1" applyAlignment="1">
      <alignment horizontal="center"/>
    </xf>
    <xf numFmtId="0" fontId="0" fillId="0" borderId="53" xfId="0" applyBorder="1" applyAlignment="1">
      <alignment horizontal="center"/>
    </xf>
    <xf numFmtId="0" fontId="18" fillId="11" borderId="55" xfId="0" applyFont="1" applyFill="1" applyBorder="1" applyAlignment="1">
      <alignment horizontal="left" vertical="top" wrapText="1"/>
    </xf>
    <xf numFmtId="0" fontId="18" fillId="11" borderId="0" xfId="0" applyFont="1" applyFill="1" applyAlignment="1">
      <alignment horizontal="left" vertical="top" wrapText="1"/>
    </xf>
    <xf numFmtId="0" fontId="18" fillId="11" borderId="54" xfId="0" applyFont="1" applyFill="1" applyBorder="1" applyAlignment="1">
      <alignment horizontal="left" vertical="top" wrapTex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0" fillId="0" borderId="87" xfId="0" applyBorder="1" applyAlignment="1">
      <alignment horizontal="center" vertical="center" wrapText="1"/>
    </xf>
    <xf numFmtId="0" fontId="0" fillId="0" borderId="89" xfId="0" quotePrefix="1" applyBorder="1" applyAlignment="1">
      <alignment horizontal="center" vertical="center" wrapText="1"/>
    </xf>
    <xf numFmtId="0" fontId="0" fillId="7" borderId="87" xfId="0" applyFill="1" applyBorder="1" applyAlignment="1">
      <alignment horizontal="center" vertical="center"/>
    </xf>
    <xf numFmtId="0" fontId="0" fillId="7" borderId="89" xfId="0" applyFill="1" applyBorder="1" applyAlignment="1">
      <alignment horizontal="center" vertical="center"/>
    </xf>
    <xf numFmtId="0" fontId="6" fillId="0" borderId="15" xfId="3" applyFill="1" applyBorder="1" applyAlignment="1">
      <alignment horizontal="center" vertical="center"/>
    </xf>
    <xf numFmtId="0" fontId="6" fillId="0" borderId="16" xfId="3" applyFill="1" applyBorder="1" applyAlignment="1">
      <alignment horizontal="center" vertical="center"/>
    </xf>
    <xf numFmtId="0" fontId="6" fillId="0" borderId="17" xfId="3" applyFill="1" applyBorder="1" applyAlignment="1">
      <alignment horizontal="center" vertical="center"/>
    </xf>
    <xf numFmtId="0" fontId="0" fillId="0" borderId="12"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36" xfId="0" applyBorder="1" applyAlignment="1" applyProtection="1">
      <alignment horizontal="left" vertical="top" wrapText="1"/>
      <protection locked="0"/>
    </xf>
    <xf numFmtId="0" fontId="6" fillId="0" borderId="1" xfId="3" applyFill="1" applyBorder="1" applyAlignment="1">
      <alignment horizontal="center" vertical="center"/>
    </xf>
    <xf numFmtId="0" fontId="6" fillId="0" borderId="2" xfId="3" applyFill="1" applyBorder="1" applyAlignment="1">
      <alignment horizontal="center" vertical="center"/>
    </xf>
    <xf numFmtId="0" fontId="6" fillId="0" borderId="46" xfId="3" applyBorder="1" applyAlignment="1">
      <alignment horizontal="center" vertical="center"/>
    </xf>
    <xf numFmtId="0" fontId="6" fillId="0" borderId="55" xfId="3" applyBorder="1" applyAlignment="1">
      <alignment horizontal="center" vertical="center"/>
    </xf>
    <xf numFmtId="0" fontId="10" fillId="0" borderId="51"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44" xfId="0" applyFont="1" applyBorder="1" applyAlignment="1">
      <alignment horizontal="center" vertical="center" wrapText="1"/>
    </xf>
    <xf numFmtId="0" fontId="2" fillId="3" borderId="33" xfId="0" applyFont="1" applyFill="1" applyBorder="1" applyAlignment="1">
      <alignment horizontal="center"/>
    </xf>
    <xf numFmtId="0" fontId="2" fillId="3" borderId="34" xfId="0" applyFont="1" applyFill="1" applyBorder="1" applyAlignment="1">
      <alignment horizontal="center"/>
    </xf>
    <xf numFmtId="0" fontId="2" fillId="3" borderId="35" xfId="0" applyFont="1" applyFill="1" applyBorder="1" applyAlignment="1">
      <alignment horizontal="center"/>
    </xf>
    <xf numFmtId="0" fontId="0" fillId="0" borderId="18" xfId="0" applyBorder="1" applyAlignment="1">
      <alignment vertical="center"/>
    </xf>
    <xf numFmtId="0" fontId="0" fillId="0" borderId="10" xfId="0" applyBorder="1" applyAlignment="1">
      <alignment horizontal="left" vertical="center" wrapText="1"/>
    </xf>
    <xf numFmtId="0" fontId="2" fillId="3" borderId="72" xfId="0" applyFont="1" applyFill="1" applyBorder="1" applyAlignment="1">
      <alignment horizontal="center"/>
    </xf>
    <xf numFmtId="0" fontId="0" fillId="6" borderId="19" xfId="0" applyFill="1" applyBorder="1" applyAlignment="1">
      <alignment horizontal="left" vertical="center"/>
    </xf>
    <xf numFmtId="0" fontId="6" fillId="0" borderId="30" xfId="3" applyFill="1" applyBorder="1" applyAlignment="1">
      <alignment horizontal="center" vertical="center"/>
    </xf>
    <xf numFmtId="0" fontId="6" fillId="0" borderId="89" xfId="3" applyFill="1" applyBorder="1" applyAlignment="1">
      <alignment horizontal="center" vertical="center"/>
    </xf>
    <xf numFmtId="0" fontId="0" fillId="0" borderId="52" xfId="0" applyBorder="1" applyAlignment="1">
      <alignment horizontal="center" vertical="center" wrapText="1"/>
    </xf>
    <xf numFmtId="0" fontId="0" fillId="0" borderId="5" xfId="0" applyBorder="1" applyAlignment="1">
      <alignment horizontal="center" vertical="center" wrapText="1"/>
    </xf>
    <xf numFmtId="0" fontId="0" fillId="0" borderId="25" xfId="0" applyBorder="1" applyAlignment="1">
      <alignment horizontal="center" vertical="center" wrapText="1"/>
    </xf>
    <xf numFmtId="0" fontId="0" fillId="0" borderId="0" xfId="0" applyAlignment="1">
      <alignment horizontal="center" vertical="center" wrapText="1"/>
    </xf>
    <xf numFmtId="0" fontId="0" fillId="6" borderId="37" xfId="0" applyFill="1" applyBorder="1" applyAlignment="1" applyProtection="1">
      <alignment horizontal="left" vertical="top" wrapText="1"/>
      <protection locked="0"/>
    </xf>
    <xf numFmtId="0" fontId="0" fillId="6" borderId="14" xfId="0" applyFill="1" applyBorder="1" applyAlignment="1" applyProtection="1">
      <alignment horizontal="left" vertical="top" wrapText="1"/>
      <protection locked="0"/>
    </xf>
    <xf numFmtId="0" fontId="0" fillId="0" borderId="19" xfId="0" applyBorder="1" applyAlignment="1">
      <alignment vertical="center"/>
    </xf>
    <xf numFmtId="0" fontId="6" fillId="0" borderId="18" xfId="3" applyFill="1" applyBorder="1" applyAlignment="1">
      <alignment horizontal="center" vertical="center"/>
    </xf>
    <xf numFmtId="0" fontId="6" fillId="0" borderId="64" xfId="3" applyFill="1" applyBorder="1" applyAlignment="1">
      <alignment horizontal="center" vertical="center"/>
    </xf>
    <xf numFmtId="0" fontId="2" fillId="3" borderId="71" xfId="0" applyFont="1" applyFill="1" applyBorder="1" applyAlignment="1">
      <alignment horizontal="center"/>
    </xf>
    <xf numFmtId="0" fontId="2" fillId="4" borderId="33" xfId="0" applyFont="1" applyFill="1" applyBorder="1" applyAlignment="1">
      <alignment horizontal="center" vertical="center" wrapText="1"/>
    </xf>
    <xf numFmtId="0" fontId="2" fillId="4" borderId="71" xfId="0" applyFont="1" applyFill="1" applyBorder="1" applyAlignment="1">
      <alignment horizontal="center" vertical="center" wrapText="1"/>
    </xf>
    <xf numFmtId="0" fontId="4" fillId="19" borderId="10" xfId="0" applyFont="1" applyFill="1" applyBorder="1" applyAlignment="1">
      <alignment horizontal="left" vertical="center" wrapText="1"/>
    </xf>
    <xf numFmtId="0" fontId="0" fillId="19" borderId="2"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1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 fillId="0" borderId="25" xfId="3" applyFill="1" applyBorder="1" applyAlignment="1">
      <alignment horizontal="center"/>
    </xf>
    <xf numFmtId="0" fontId="0" fillId="0" borderId="18" xfId="0" applyBorder="1" applyAlignment="1">
      <alignment horizontal="center" vertical="center"/>
    </xf>
    <xf numFmtId="0" fontId="0" fillId="0" borderId="1" xfId="0" applyBorder="1" applyAlignment="1">
      <alignment horizontal="center" vertical="center"/>
    </xf>
    <xf numFmtId="0" fontId="6" fillId="0" borderId="0" xfId="3" applyFill="1" applyBorder="1" applyAlignment="1">
      <alignment horizontal="center"/>
    </xf>
    <xf numFmtId="0" fontId="6" fillId="0" borderId="26" xfId="3" applyFill="1" applyBorder="1" applyAlignment="1">
      <alignment horizontal="center"/>
    </xf>
    <xf numFmtId="0" fontId="0" fillId="0" borderId="48" xfId="0" applyBorder="1" applyAlignment="1">
      <alignment horizontal="center" vertical="center" wrapText="1"/>
    </xf>
    <xf numFmtId="0" fontId="0" fillId="0" borderId="50" xfId="0" applyBorder="1" applyAlignment="1">
      <alignment horizontal="center" vertical="center" wrapText="1"/>
    </xf>
    <xf numFmtId="0" fontId="0" fillId="0" borderId="6" xfId="0" applyBorder="1" applyAlignment="1">
      <alignment horizontal="center" vertical="center" wrapText="1"/>
    </xf>
    <xf numFmtId="0" fontId="2" fillId="3" borderId="72" xfId="0" applyFont="1" applyFill="1" applyBorder="1" applyAlignment="1">
      <alignment horizontal="center" vertical="center"/>
    </xf>
    <xf numFmtId="0" fontId="2" fillId="3" borderId="71" xfId="0" applyFont="1" applyFill="1" applyBorder="1" applyAlignment="1">
      <alignment horizontal="center" vertical="center"/>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0" fillId="0" borderId="19" xfId="0" applyBorder="1" applyAlignment="1">
      <alignment horizontal="left" vertical="center" wrapText="1"/>
    </xf>
    <xf numFmtId="0" fontId="0" fillId="0" borderId="20"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6" borderId="20" xfId="0" applyFill="1" applyBorder="1" applyAlignment="1" applyProtection="1">
      <alignment horizontal="left" vertical="top" wrapText="1"/>
      <protection locked="0"/>
    </xf>
    <xf numFmtId="0" fontId="0" fillId="0" borderId="20" xfId="0" applyBorder="1" applyAlignment="1">
      <alignment horizontal="left" vertical="center" wrapText="1"/>
    </xf>
    <xf numFmtId="0" fontId="0" fillId="0" borderId="19" xfId="0" applyBorder="1" applyAlignment="1">
      <alignment horizontal="left" vertical="top" wrapText="1"/>
    </xf>
    <xf numFmtId="0" fontId="0" fillId="0" borderId="49" xfId="0" applyBorder="1" applyAlignment="1">
      <alignment horizontal="left" vertical="top" wrapText="1"/>
    </xf>
    <xf numFmtId="0" fontId="0" fillId="0" borderId="18" xfId="0" applyBorder="1" applyAlignment="1">
      <alignment horizontal="left" vertical="top" wrapText="1"/>
    </xf>
    <xf numFmtId="0" fontId="4" fillId="19" borderId="30" xfId="0" applyFont="1" applyFill="1" applyBorder="1" applyAlignment="1">
      <alignment horizontal="left" vertical="center"/>
    </xf>
    <xf numFmtId="0" fontId="4" fillId="19" borderId="6" xfId="0" applyFont="1" applyFill="1" applyBorder="1" applyAlignment="1">
      <alignment horizontal="left" vertical="center"/>
    </xf>
    <xf numFmtId="0" fontId="0" fillId="19" borderId="6"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44"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0" borderId="43" xfId="0" applyBorder="1" applyAlignment="1" applyProtection="1">
      <alignment horizontal="left" vertical="top" wrapText="1"/>
      <protection locked="0"/>
    </xf>
    <xf numFmtId="0" fontId="0" fillId="0" borderId="44"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0" xfId="0" applyAlignment="1">
      <alignment horizontal="left" vertical="center"/>
    </xf>
    <xf numFmtId="0" fontId="0" fillId="0" borderId="52" xfId="0" applyBorder="1" applyAlignment="1">
      <alignment horizontal="left" vertical="center"/>
    </xf>
    <xf numFmtId="0" fontId="0" fillId="6" borderId="18" xfId="0" applyFill="1" applyBorder="1" applyAlignment="1">
      <alignment vertical="center"/>
    </xf>
    <xf numFmtId="14" fontId="1" fillId="13" borderId="20" xfId="2" applyNumberFormat="1" applyFill="1" applyBorder="1" applyAlignment="1">
      <alignment horizontal="center" vertical="center"/>
    </xf>
    <xf numFmtId="14" fontId="1" fillId="13" borderId="14" xfId="2" applyNumberFormat="1" applyFill="1" applyBorder="1" applyAlignment="1">
      <alignment horizontal="center" vertical="center"/>
    </xf>
    <xf numFmtId="1" fontId="0" fillId="0" borderId="6" xfId="2" applyNumberFormat="1" applyFont="1" applyFill="1" applyBorder="1" applyAlignment="1" applyProtection="1">
      <alignment horizontal="center"/>
      <protection locked="0"/>
    </xf>
    <xf numFmtId="1" fontId="0" fillId="0" borderId="44" xfId="2" applyNumberFormat="1" applyFont="1" applyFill="1" applyBorder="1" applyAlignment="1" applyProtection="1">
      <alignment horizontal="center"/>
      <protection locked="0"/>
    </xf>
    <xf numFmtId="0" fontId="1" fillId="0" borderId="1" xfId="2" applyNumberFormat="1" applyFill="1" applyAlignment="1" applyProtection="1">
      <alignment horizontal="center"/>
      <protection locked="0"/>
    </xf>
    <xf numFmtId="0" fontId="1" fillId="0" borderId="11" xfId="2" applyNumberFormat="1" applyFill="1" applyBorder="1" applyAlignment="1" applyProtection="1">
      <alignment horizontal="center"/>
      <protection locked="0"/>
    </xf>
    <xf numFmtId="1" fontId="1" fillId="0" borderId="1" xfId="2" applyNumberFormat="1" applyFill="1" applyAlignment="1" applyProtection="1">
      <alignment horizontal="center"/>
      <protection locked="0"/>
    </xf>
    <xf numFmtId="1" fontId="1" fillId="0" borderId="11" xfId="2" applyNumberFormat="1" applyFill="1" applyBorder="1" applyAlignment="1" applyProtection="1">
      <alignment horizontal="center"/>
      <protection locked="0"/>
    </xf>
    <xf numFmtId="0" fontId="0" fillId="6" borderId="52" xfId="0" applyFill="1" applyBorder="1" applyAlignment="1">
      <alignment horizontal="left" vertical="center" wrapText="1"/>
    </xf>
    <xf numFmtId="0" fontId="2" fillId="0" borderId="25" xfId="0" applyFont="1" applyBorder="1" applyAlignment="1">
      <alignment horizontal="center" vertical="center" wrapText="1"/>
    </xf>
    <xf numFmtId="0" fontId="2" fillId="14" borderId="33" xfId="0" applyFont="1" applyFill="1" applyBorder="1" applyAlignment="1">
      <alignment horizontal="center" vertical="center" wrapText="1"/>
    </xf>
    <xf numFmtId="0" fontId="2" fillId="14" borderId="34" xfId="0" applyFont="1" applyFill="1" applyBorder="1" applyAlignment="1">
      <alignment horizontal="center" vertical="center" wrapText="1"/>
    </xf>
    <xf numFmtId="0" fontId="2" fillId="14" borderId="35" xfId="0" applyFont="1" applyFill="1" applyBorder="1" applyAlignment="1">
      <alignment horizontal="center" vertical="center" wrapText="1"/>
    </xf>
    <xf numFmtId="0" fontId="2" fillId="15" borderId="72" xfId="0" applyFont="1" applyFill="1" applyBorder="1" applyAlignment="1">
      <alignment horizontal="center"/>
    </xf>
    <xf numFmtId="0" fontId="2" fillId="15" borderId="71" xfId="0" applyFont="1" applyFill="1" applyBorder="1" applyAlignment="1">
      <alignment horizontal="center"/>
    </xf>
    <xf numFmtId="0" fontId="0" fillId="0" borderId="32" xfId="0" applyBorder="1" applyAlignment="1">
      <alignment horizontal="left" vertical="top" wrapText="1"/>
    </xf>
    <xf numFmtId="0" fontId="2" fillId="21" borderId="33" xfId="0" applyFont="1" applyFill="1" applyBorder="1" applyAlignment="1">
      <alignment horizontal="center"/>
    </xf>
    <xf numFmtId="0" fontId="2" fillId="21" borderId="71" xfId="0" applyFont="1" applyFill="1" applyBorder="1" applyAlignment="1">
      <alignment horizontal="center"/>
    </xf>
    <xf numFmtId="0" fontId="0" fillId="0" borderId="30" xfId="0" applyBorder="1" applyAlignment="1">
      <alignment vertical="center"/>
    </xf>
    <xf numFmtId="0" fontId="0" fillId="0" borderId="18" xfId="0" applyBorder="1" applyAlignment="1">
      <alignment horizontal="left" vertical="center" wrapText="1"/>
    </xf>
    <xf numFmtId="0" fontId="6" fillId="0" borderId="25" xfId="3" applyFill="1" applyBorder="1" applyAlignment="1">
      <alignment horizontal="center" vertical="center"/>
    </xf>
    <xf numFmtId="0" fontId="6" fillId="0" borderId="87" xfId="3" applyFill="1" applyBorder="1" applyAlignment="1">
      <alignment horizontal="center" vertical="center"/>
    </xf>
    <xf numFmtId="0" fontId="0" fillId="0" borderId="6" xfId="0" applyBorder="1" applyAlignment="1" applyProtection="1">
      <alignment horizontal="center"/>
      <protection locked="0"/>
    </xf>
    <xf numFmtId="0" fontId="0" fillId="0" borderId="44" xfId="0" applyBorder="1" applyAlignment="1" applyProtection="1">
      <alignment horizontal="center"/>
      <protection locked="0"/>
    </xf>
    <xf numFmtId="2" fontId="0" fillId="7" borderId="20" xfId="2" applyFont="1" applyFill="1" applyBorder="1" applyAlignment="1" applyProtection="1">
      <alignment horizontal="center"/>
      <protection locked="0"/>
    </xf>
    <xf numFmtId="2" fontId="0" fillId="7" borderId="14" xfId="2" applyFont="1" applyFill="1" applyBorder="1" applyAlignment="1" applyProtection="1">
      <alignment horizontal="center"/>
      <protection locked="0"/>
    </xf>
    <xf numFmtId="0" fontId="0" fillId="0" borderId="1" xfId="2" applyNumberFormat="1" applyFont="1" applyFill="1" applyAlignment="1" applyProtection="1">
      <alignment horizontal="center"/>
      <protection locked="0"/>
    </xf>
    <xf numFmtId="0" fontId="0" fillId="0" borderId="11" xfId="2" applyNumberFormat="1" applyFont="1" applyFill="1" applyBorder="1" applyAlignment="1" applyProtection="1">
      <alignment horizontal="center"/>
      <protection locked="0"/>
    </xf>
    <xf numFmtId="1" fontId="0" fillId="0" borderId="1" xfId="2" applyNumberFormat="1" applyFont="1" applyFill="1" applyAlignment="1" applyProtection="1">
      <alignment horizontal="center"/>
      <protection locked="0"/>
    </xf>
    <xf numFmtId="1" fontId="0" fillId="0" borderId="11" xfId="2" applyNumberFormat="1" applyFont="1" applyFill="1" applyBorder="1" applyAlignment="1" applyProtection="1">
      <alignment horizontal="center"/>
      <protection locked="0"/>
    </xf>
    <xf numFmtId="0" fontId="6" fillId="0" borderId="41" xfId="3" applyBorder="1" applyAlignment="1">
      <alignment horizontal="center" wrapText="1"/>
    </xf>
    <xf numFmtId="0" fontId="2" fillId="4" borderId="34"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4" fillId="19" borderId="18" xfId="0" applyFont="1" applyFill="1" applyBorder="1" applyAlignment="1">
      <alignment horizontal="left" vertical="center" wrapText="1"/>
    </xf>
    <xf numFmtId="0" fontId="2" fillId="12" borderId="72" xfId="0" applyFont="1" applyFill="1" applyBorder="1" applyAlignment="1">
      <alignment horizontal="center" vertical="center"/>
    </xf>
    <xf numFmtId="0" fontId="2" fillId="12" borderId="71" xfId="0" applyFont="1" applyFill="1" applyBorder="1" applyAlignment="1">
      <alignment horizontal="center" vertical="center"/>
    </xf>
    <xf numFmtId="0" fontId="0" fillId="6" borderId="43" xfId="0" applyFill="1" applyBorder="1" applyAlignment="1" applyProtection="1">
      <alignment horizontal="left" vertical="center" wrapText="1"/>
      <protection locked="0"/>
    </xf>
    <xf numFmtId="0" fontId="0" fillId="6" borderId="44" xfId="0" applyFill="1" applyBorder="1" applyAlignment="1" applyProtection="1">
      <alignment horizontal="left" vertical="center" wrapText="1"/>
      <protection locked="0"/>
    </xf>
    <xf numFmtId="0" fontId="0" fillId="6" borderId="37" xfId="0" applyFill="1" applyBorder="1" applyAlignment="1" applyProtection="1">
      <alignment horizontal="left" vertical="center" wrapText="1"/>
      <protection locked="0"/>
    </xf>
    <xf numFmtId="0" fontId="0" fillId="6" borderId="14" xfId="0" applyFill="1" applyBorder="1" applyAlignment="1" applyProtection="1">
      <alignment horizontal="left" vertical="center" wrapText="1"/>
      <protection locked="0"/>
    </xf>
    <xf numFmtId="0" fontId="0" fillId="6" borderId="2"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0" fillId="0" borderId="30" xfId="0" applyBorder="1" applyAlignment="1">
      <alignment horizontal="left" vertical="center" wrapText="1"/>
    </xf>
    <xf numFmtId="2" fontId="0" fillId="6" borderId="2" xfId="0" applyNumberFormat="1" applyFill="1" applyBorder="1" applyAlignment="1" applyProtection="1">
      <alignment horizontal="right" wrapText="1"/>
      <protection locked="0"/>
    </xf>
    <xf numFmtId="2" fontId="0" fillId="6" borderId="3" xfId="0" applyNumberFormat="1" applyFill="1" applyBorder="1" applyAlignment="1" applyProtection="1">
      <alignment horizontal="right" wrapText="1"/>
      <protection locked="0"/>
    </xf>
    <xf numFmtId="2" fontId="0" fillId="6" borderId="4" xfId="0" applyNumberFormat="1" applyFill="1" applyBorder="1" applyAlignment="1" applyProtection="1">
      <alignment horizontal="right" wrapText="1"/>
      <protection locked="0"/>
    </xf>
    <xf numFmtId="2" fontId="0" fillId="6" borderId="1" xfId="0" applyNumberFormat="1" applyFill="1" applyBorder="1" applyAlignment="1" applyProtection="1">
      <alignment horizontal="right"/>
      <protection locked="0"/>
    </xf>
    <xf numFmtId="0" fontId="0" fillId="6" borderId="2" xfId="0" applyFill="1" applyBorder="1" applyAlignment="1" applyProtection="1">
      <alignment horizontal="center"/>
      <protection locked="0"/>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0" borderId="1" xfId="0" applyBorder="1" applyAlignment="1" applyProtection="1">
      <alignment horizontal="center" vertical="center"/>
      <protection locked="0"/>
    </xf>
    <xf numFmtId="0" fontId="2" fillId="0" borderId="6" xfId="0" applyFont="1" applyBorder="1" applyAlignment="1">
      <alignment horizontal="left"/>
    </xf>
    <xf numFmtId="0" fontId="2" fillId="0" borderId="44" xfId="0" applyFont="1" applyBorder="1" applyAlignment="1">
      <alignment horizontal="left"/>
    </xf>
    <xf numFmtId="0" fontId="2" fillId="0" borderId="1" xfId="0" applyFont="1" applyBorder="1" applyAlignment="1">
      <alignment horizontal="left"/>
    </xf>
    <xf numFmtId="0" fontId="2" fillId="0" borderId="11" xfId="0" applyFont="1" applyBorder="1" applyAlignment="1">
      <alignment horizontal="left"/>
    </xf>
    <xf numFmtId="0" fontId="0" fillId="13" borderId="16" xfId="0" applyFill="1" applyBorder="1" applyAlignment="1">
      <alignment horizontal="center"/>
    </xf>
    <xf numFmtId="0" fontId="0" fillId="0" borderId="1" xfId="0" applyBorder="1" applyAlignment="1" applyProtection="1">
      <alignment vertical="center" wrapText="1"/>
      <protection locked="0"/>
    </xf>
    <xf numFmtId="0" fontId="6" fillId="0" borderId="11" xfId="3" applyFill="1" applyBorder="1" applyAlignment="1">
      <alignment horizontal="center" vertical="center"/>
    </xf>
    <xf numFmtId="0" fontId="0" fillId="6" borderId="1" xfId="0" applyFill="1" applyBorder="1" applyAlignment="1" applyProtection="1">
      <alignment horizontal="center"/>
      <protection locked="0"/>
    </xf>
    <xf numFmtId="0" fontId="39" fillId="0" borderId="0" xfId="0" applyFont="1" applyAlignment="1">
      <alignment horizontal="center" vertical="center" wrapText="1"/>
    </xf>
    <xf numFmtId="0" fontId="0" fillId="0" borderId="0" xfId="0" applyAlignment="1">
      <alignment horizontal="left" vertical="center" wrapText="1"/>
    </xf>
    <xf numFmtId="0" fontId="2" fillId="0" borderId="25" xfId="0" applyFont="1" applyBorder="1" applyAlignment="1">
      <alignment horizontal="center" vertical="center"/>
    </xf>
    <xf numFmtId="0" fontId="0" fillId="0" borderId="39" xfId="0" applyBorder="1" applyAlignment="1">
      <alignment horizontal="left" vertical="center" wrapText="1"/>
    </xf>
    <xf numFmtId="0" fontId="0" fillId="0" borderId="86" xfId="0" applyBorder="1" applyAlignment="1">
      <alignment horizontal="left" vertical="center" wrapText="1"/>
    </xf>
    <xf numFmtId="0" fontId="0" fillId="0" borderId="32" xfId="0" applyBorder="1" applyAlignment="1">
      <alignment horizontal="left" vertical="center" wrapText="1"/>
    </xf>
    <xf numFmtId="0" fontId="4" fillId="19" borderId="2" xfId="0" applyFont="1" applyFill="1" applyBorder="1" applyAlignment="1">
      <alignment horizontal="center" vertical="top" wrapText="1"/>
    </xf>
    <xf numFmtId="0" fontId="4" fillId="19" borderId="3" xfId="0" applyFont="1" applyFill="1" applyBorder="1" applyAlignment="1">
      <alignment horizontal="center" vertical="top" wrapText="1"/>
    </xf>
    <xf numFmtId="0" fontId="4" fillId="19" borderId="4" xfId="0" applyFont="1" applyFill="1" applyBorder="1" applyAlignment="1">
      <alignment horizontal="center" vertical="top" wrapText="1"/>
    </xf>
    <xf numFmtId="0" fontId="0" fillId="19" borderId="2" xfId="0" applyFill="1" applyBorder="1" applyAlignment="1" applyProtection="1">
      <alignment horizontal="center" vertical="top" wrapText="1"/>
      <protection locked="0"/>
    </xf>
    <xf numFmtId="0" fontId="0" fillId="19" borderId="3" xfId="0" applyFill="1" applyBorder="1" applyAlignment="1" applyProtection="1">
      <alignment horizontal="center" vertical="top" wrapText="1"/>
      <protection locked="0"/>
    </xf>
    <xf numFmtId="0" fontId="0" fillId="19" borderId="21" xfId="0" applyFill="1" applyBorder="1" applyAlignment="1" applyProtection="1">
      <alignment horizontal="center" vertical="top" wrapText="1"/>
      <protection locked="0"/>
    </xf>
    <xf numFmtId="2" fontId="0" fillId="6" borderId="4" xfId="0" applyNumberFormat="1" applyFill="1" applyBorder="1" applyAlignment="1" applyProtection="1">
      <alignment horizontal="right"/>
      <protection locked="0"/>
    </xf>
    <xf numFmtId="0" fontId="2" fillId="0" borderId="0" xfId="0" applyFont="1" applyAlignment="1">
      <alignment horizontal="center" vertical="center"/>
    </xf>
    <xf numFmtId="2" fontId="0" fillId="13" borderId="13" xfId="0" applyNumberFormat="1" applyFill="1" applyBorder="1" applyAlignment="1">
      <alignment horizontal="right"/>
    </xf>
    <xf numFmtId="2" fontId="0" fillId="13" borderId="20" xfId="0" applyNumberFormat="1" applyFill="1" applyBorder="1" applyAlignment="1">
      <alignment horizontal="right"/>
    </xf>
    <xf numFmtId="2" fontId="0" fillId="6" borderId="11" xfId="0" applyNumberFormat="1" applyFill="1" applyBorder="1" applyAlignment="1" applyProtection="1">
      <alignment horizontal="right"/>
      <protection locked="0"/>
    </xf>
    <xf numFmtId="2" fontId="0" fillId="0" borderId="1" xfId="0" applyNumberFormat="1" applyBorder="1" applyAlignment="1" applyProtection="1">
      <alignment horizontal="right"/>
      <protection locked="0"/>
    </xf>
    <xf numFmtId="2" fontId="0" fillId="0" borderId="11" xfId="0" applyNumberFormat="1" applyBorder="1" applyAlignment="1" applyProtection="1">
      <alignment horizontal="right"/>
      <protection locked="0"/>
    </xf>
    <xf numFmtId="2" fontId="0" fillId="13" borderId="14" xfId="0" applyNumberFormat="1" applyFill="1" applyBorder="1" applyAlignment="1">
      <alignment horizontal="right"/>
    </xf>
    <xf numFmtId="2" fontId="0" fillId="13" borderId="1" xfId="2" applyFont="1" applyFill="1" applyAlignment="1">
      <alignment horizontal="right" vertical="center"/>
    </xf>
    <xf numFmtId="2" fontId="0" fillId="13" borderId="11" xfId="2" applyFont="1" applyFill="1" applyBorder="1" applyAlignment="1">
      <alignment horizontal="right" vertical="center"/>
    </xf>
    <xf numFmtId="2" fontId="0" fillId="13" borderId="48" xfId="2" applyFont="1" applyFill="1" applyBorder="1" applyAlignment="1">
      <alignment horizontal="right" vertical="center"/>
    </xf>
    <xf numFmtId="2" fontId="0" fillId="13" borderId="51" xfId="2" applyFont="1" applyFill="1" applyBorder="1" applyAlignment="1">
      <alignment horizontal="right" vertical="center"/>
    </xf>
    <xf numFmtId="0" fontId="25" fillId="19" borderId="4" xfId="0" applyFont="1" applyFill="1" applyBorder="1" applyAlignment="1">
      <alignment horizontal="center" wrapText="1"/>
    </xf>
    <xf numFmtId="0" fontId="25" fillId="19" borderId="1" xfId="0" applyFont="1" applyFill="1" applyBorder="1" applyAlignment="1">
      <alignment horizontal="center" wrapText="1"/>
    </xf>
    <xf numFmtId="0" fontId="10" fillId="19" borderId="18" xfId="3" applyFont="1" applyFill="1" applyBorder="1" applyAlignment="1" applyProtection="1">
      <alignment horizontal="left" vertical="center" wrapText="1"/>
    </xf>
    <xf numFmtId="0" fontId="10" fillId="19" borderId="1" xfId="3" applyFont="1" applyFill="1" applyBorder="1" applyAlignment="1" applyProtection="1">
      <alignment horizontal="left" vertical="center" wrapText="1"/>
    </xf>
    <xf numFmtId="0" fontId="0" fillId="19" borderId="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2" fontId="0" fillId="13" borderId="73" xfId="2" applyFont="1" applyFill="1" applyBorder="1" applyAlignment="1">
      <alignment horizontal="center"/>
    </xf>
    <xf numFmtId="2" fontId="0" fillId="13" borderId="16" xfId="2" applyFont="1" applyFill="1" applyBorder="1" applyAlignment="1">
      <alignment horizontal="center"/>
    </xf>
    <xf numFmtId="2" fontId="0" fillId="13" borderId="24" xfId="2" applyFont="1" applyFill="1" applyBorder="1" applyAlignment="1">
      <alignment horizontal="center"/>
    </xf>
    <xf numFmtId="2" fontId="0" fillId="13" borderId="2" xfId="2" applyFont="1" applyFill="1" applyBorder="1" applyAlignment="1">
      <alignment horizontal="center"/>
    </xf>
    <xf numFmtId="2" fontId="0" fillId="13" borderId="3" xfId="2" applyFont="1" applyFill="1" applyBorder="1" applyAlignment="1">
      <alignment horizontal="center"/>
    </xf>
    <xf numFmtId="2" fontId="0" fillId="13" borderId="4" xfId="2" applyFont="1" applyFill="1" applyBorder="1" applyAlignment="1">
      <alignment horizontal="center"/>
    </xf>
    <xf numFmtId="2" fontId="0" fillId="6" borderId="20" xfId="0" applyNumberFormat="1" applyFill="1" applyBorder="1" applyAlignment="1" applyProtection="1">
      <alignment horizontal="right"/>
      <protection locked="0"/>
    </xf>
    <xf numFmtId="2" fontId="0" fillId="6" borderId="6" xfId="0" applyNumberFormat="1" applyFill="1" applyBorder="1" applyAlignment="1" applyProtection="1">
      <alignment horizontal="right"/>
      <protection locked="0"/>
    </xf>
    <xf numFmtId="0" fontId="0" fillId="6" borderId="20" xfId="0" applyFill="1" applyBorder="1" applyAlignment="1" applyProtection="1">
      <alignment horizontal="center"/>
      <protection locked="0"/>
    </xf>
    <xf numFmtId="0" fontId="2" fillId="3" borderId="61" xfId="0" applyFont="1" applyFill="1" applyBorder="1" applyAlignment="1">
      <alignment horizontal="center"/>
    </xf>
    <xf numFmtId="0" fontId="2" fillId="3" borderId="63" xfId="0" applyFont="1" applyFill="1" applyBorder="1" applyAlignment="1">
      <alignment horizontal="center"/>
    </xf>
    <xf numFmtId="0" fontId="6" fillId="0" borderId="6" xfId="3" applyFill="1" applyBorder="1" applyAlignment="1">
      <alignment horizontal="center" vertical="center"/>
    </xf>
    <xf numFmtId="0" fontId="6" fillId="0" borderId="44" xfId="3" applyFill="1" applyBorder="1" applyAlignment="1">
      <alignment horizontal="center" vertical="center"/>
    </xf>
    <xf numFmtId="170" fontId="1" fillId="13" borderId="1" xfId="2" applyNumberFormat="1" applyFill="1" applyAlignment="1">
      <alignment horizontal="right"/>
    </xf>
    <xf numFmtId="170" fontId="1" fillId="13" borderId="11" xfId="2" applyNumberFormat="1" applyFill="1" applyBorder="1" applyAlignment="1">
      <alignment horizontal="right"/>
    </xf>
    <xf numFmtId="0" fontId="2" fillId="4" borderId="72" xfId="0" applyFont="1" applyFill="1" applyBorder="1" applyAlignment="1">
      <alignment horizontal="center" vertical="center"/>
    </xf>
    <xf numFmtId="0" fontId="2" fillId="4" borderId="71" xfId="0" applyFont="1" applyFill="1" applyBorder="1" applyAlignment="1">
      <alignment horizontal="center" vertical="center"/>
    </xf>
    <xf numFmtId="0" fontId="2" fillId="3" borderId="61" xfId="0" applyFont="1" applyFill="1" applyBorder="1" applyAlignment="1">
      <alignment horizontal="center" vertical="center"/>
    </xf>
    <xf numFmtId="0" fontId="2" fillId="3" borderId="63" xfId="0" applyFont="1" applyFill="1" applyBorder="1" applyAlignment="1">
      <alignment horizontal="center" vertical="center"/>
    </xf>
    <xf numFmtId="0" fontId="2" fillId="4" borderId="90" xfId="0" applyFont="1" applyFill="1" applyBorder="1" applyAlignment="1">
      <alignment horizontal="center" vertical="center"/>
    </xf>
    <xf numFmtId="0" fontId="2" fillId="4" borderId="61" xfId="0" applyFont="1" applyFill="1" applyBorder="1" applyAlignment="1">
      <alignment horizontal="center" vertical="center"/>
    </xf>
    <xf numFmtId="0" fontId="2" fillId="4" borderId="63" xfId="0" applyFont="1" applyFill="1" applyBorder="1" applyAlignment="1">
      <alignment horizontal="center" vertical="center"/>
    </xf>
    <xf numFmtId="0" fontId="0" fillId="0" borderId="19" xfId="0" applyBorder="1" applyAlignment="1">
      <alignment horizontal="left"/>
    </xf>
    <xf numFmtId="0" fontId="0" fillId="0" borderId="20" xfId="0" applyBorder="1" applyAlignment="1">
      <alignment horizontal="left"/>
    </xf>
    <xf numFmtId="0" fontId="0" fillId="0" borderId="49" xfId="0" applyBorder="1" applyAlignment="1">
      <alignment horizontal="left"/>
    </xf>
    <xf numFmtId="0" fontId="0" fillId="0" borderId="41" xfId="0" applyBorder="1" applyAlignment="1">
      <alignment horizontal="left"/>
    </xf>
    <xf numFmtId="0" fontId="0" fillId="0" borderId="40" xfId="0" applyBorder="1" applyAlignment="1">
      <alignment horizontal="left"/>
    </xf>
    <xf numFmtId="0" fontId="0" fillId="0" borderId="10" xfId="0" applyBorder="1" applyAlignment="1">
      <alignment horizontal="left"/>
    </xf>
    <xf numFmtId="0" fontId="0" fillId="0" borderId="3" xfId="0" applyBorder="1" applyAlignment="1">
      <alignment horizontal="left"/>
    </xf>
    <xf numFmtId="0" fontId="0" fillId="0" borderId="4" xfId="0" applyBorder="1" applyAlignment="1">
      <alignment horizontal="left"/>
    </xf>
    <xf numFmtId="2" fontId="0" fillId="6" borderId="2" xfId="0" applyNumberFormat="1" applyFill="1" applyBorder="1" applyAlignment="1" applyProtection="1">
      <alignment horizontal="right" vertical="center"/>
      <protection locked="0"/>
    </xf>
    <xf numFmtId="2" fontId="0" fillId="6" borderId="3" xfId="0" applyNumberFormat="1" applyFill="1" applyBorder="1" applyAlignment="1" applyProtection="1">
      <alignment horizontal="right" vertical="center"/>
      <protection locked="0"/>
    </xf>
    <xf numFmtId="2" fontId="0" fillId="6" borderId="4" xfId="0" applyNumberFormat="1" applyFill="1" applyBorder="1" applyAlignment="1" applyProtection="1">
      <alignment horizontal="right" vertical="center"/>
      <protection locked="0"/>
    </xf>
    <xf numFmtId="2" fontId="0" fillId="13" borderId="37" xfId="0" applyNumberFormat="1" applyFill="1" applyBorder="1" applyAlignment="1" applyProtection="1">
      <alignment horizontal="right" vertical="center"/>
      <protection locked="0"/>
    </xf>
    <xf numFmtId="2" fontId="0" fillId="13" borderId="27" xfId="0" applyNumberFormat="1" applyFill="1" applyBorder="1" applyAlignment="1" applyProtection="1">
      <alignment horizontal="right" vertical="center"/>
      <protection locked="0"/>
    </xf>
    <xf numFmtId="2" fontId="0" fillId="13" borderId="13" xfId="0" applyNumberFormat="1" applyFill="1" applyBorder="1" applyAlignment="1" applyProtection="1">
      <alignment horizontal="right" vertical="center"/>
      <protection locked="0"/>
    </xf>
    <xf numFmtId="2" fontId="2" fillId="0" borderId="40" xfId="0" applyNumberFormat="1" applyFont="1" applyBorder="1" applyAlignment="1">
      <alignment horizontal="center" vertical="center"/>
    </xf>
    <xf numFmtId="2" fontId="2" fillId="0" borderId="6" xfId="0" applyNumberFormat="1" applyFont="1" applyBorder="1" applyAlignment="1">
      <alignment horizontal="center" vertical="center"/>
    </xf>
    <xf numFmtId="0" fontId="6" fillId="0" borderId="40" xfId="3" applyFill="1" applyBorder="1" applyAlignment="1">
      <alignment horizontal="center" vertical="center"/>
    </xf>
    <xf numFmtId="0" fontId="6" fillId="0" borderId="4" xfId="3" applyFill="1" applyBorder="1" applyAlignment="1">
      <alignment horizontal="center" vertical="center"/>
    </xf>
    <xf numFmtId="2" fontId="0" fillId="0" borderId="20" xfId="0" applyNumberFormat="1" applyBorder="1" applyAlignment="1" applyProtection="1">
      <alignment horizontal="right"/>
      <protection locked="0"/>
    </xf>
    <xf numFmtId="2" fontId="0" fillId="0" borderId="14" xfId="0" applyNumberFormat="1" applyBorder="1" applyAlignment="1" applyProtection="1">
      <alignment horizontal="right"/>
      <protection locked="0"/>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0" fillId="6" borderId="4"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2" fontId="0" fillId="6" borderId="1" xfId="0" applyNumberFormat="1" applyFill="1" applyBorder="1" applyAlignment="1" applyProtection="1">
      <alignment horizontal="right" vertical="center"/>
      <protection locked="0"/>
    </xf>
    <xf numFmtId="0" fontId="6" fillId="0" borderId="24" xfId="3" applyFill="1" applyBorder="1" applyAlignment="1">
      <alignment horizontal="center" vertical="center"/>
    </xf>
    <xf numFmtId="0" fontId="6" fillId="0" borderId="8" xfId="3" applyFill="1" applyBorder="1" applyAlignment="1">
      <alignment horizontal="center" vertical="center"/>
    </xf>
    <xf numFmtId="0" fontId="0" fillId="19" borderId="4"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2" fontId="1" fillId="13" borderId="2" xfId="2" applyFill="1" applyBorder="1" applyAlignment="1">
      <alignment horizontal="center"/>
    </xf>
    <xf numFmtId="2" fontId="1" fillId="13" borderId="3" xfId="2" applyFill="1" applyBorder="1" applyAlignment="1">
      <alignment horizontal="center"/>
    </xf>
    <xf numFmtId="2" fontId="1" fillId="13" borderId="4" xfId="2" applyFill="1" applyBorder="1" applyAlignment="1">
      <alignment horizontal="center"/>
    </xf>
    <xf numFmtId="2" fontId="0" fillId="7" borderId="81" xfId="2" applyFont="1" applyFill="1" applyBorder="1" applyAlignment="1">
      <alignment horizontal="center"/>
    </xf>
    <xf numFmtId="2" fontId="0" fillId="7" borderId="82" xfId="2" applyFont="1" applyFill="1" applyBorder="1" applyAlignment="1">
      <alignment horizontal="center"/>
    </xf>
    <xf numFmtId="0" fontId="6" fillId="0" borderId="12" xfId="3" applyFill="1" applyBorder="1" applyAlignment="1"/>
    <xf numFmtId="0" fontId="6" fillId="0" borderId="27" xfId="3" applyFill="1" applyBorder="1" applyAlignment="1"/>
    <xf numFmtId="0" fontId="6" fillId="0" borderId="13" xfId="3" applyFill="1" applyBorder="1" applyAlignment="1"/>
    <xf numFmtId="0" fontId="4" fillId="7" borderId="80" xfId="0" applyFont="1" applyFill="1" applyBorder="1" applyAlignment="1">
      <alignment horizontal="center"/>
    </xf>
    <xf numFmtId="0" fontId="4" fillId="7" borderId="84" xfId="0" applyFont="1" applyFill="1" applyBorder="1" applyAlignment="1">
      <alignment horizontal="center"/>
    </xf>
    <xf numFmtId="0" fontId="4" fillId="7" borderId="66" xfId="0" applyFont="1" applyFill="1" applyBorder="1" applyAlignment="1">
      <alignment horizontal="center"/>
    </xf>
    <xf numFmtId="0" fontId="4" fillId="19" borderId="18" xfId="0" applyFont="1" applyFill="1" applyBorder="1" applyAlignment="1">
      <alignment horizontal="left" vertical="center"/>
    </xf>
    <xf numFmtId="0" fontId="4" fillId="19" borderId="1" xfId="0" applyFont="1" applyFill="1" applyBorder="1" applyAlignment="1">
      <alignment horizontal="left" vertical="center"/>
    </xf>
    <xf numFmtId="0" fontId="4" fillId="19" borderId="11" xfId="0" applyFont="1" applyFill="1" applyBorder="1" applyAlignment="1">
      <alignment horizontal="left" vertical="center"/>
    </xf>
    <xf numFmtId="0" fontId="2" fillId="0" borderId="11" xfId="0" applyFont="1" applyBorder="1" applyAlignment="1">
      <alignment horizontal="center" vertical="center"/>
    </xf>
    <xf numFmtId="0" fontId="2" fillId="13" borderId="1" xfId="2" applyNumberFormat="1" applyFont="1" applyFill="1" applyAlignment="1">
      <alignment horizontal="center"/>
    </xf>
    <xf numFmtId="0" fontId="2" fillId="13" borderId="11" xfId="2" applyNumberFormat="1" applyFont="1" applyFill="1" applyBorder="1" applyAlignment="1">
      <alignment horizontal="center"/>
    </xf>
    <xf numFmtId="0" fontId="0" fillId="0" borderId="1" xfId="0" applyBorder="1" applyAlignment="1">
      <alignment horizontal="left" vertical="center" wrapText="1"/>
    </xf>
    <xf numFmtId="2" fontId="0" fillId="13" borderId="46" xfId="2" applyFont="1" applyFill="1" applyBorder="1" applyAlignment="1">
      <alignment horizontal="center"/>
    </xf>
    <xf numFmtId="2" fontId="0" fillId="13" borderId="5" xfId="2" applyFont="1" applyFill="1" applyBorder="1" applyAlignment="1">
      <alignment horizontal="center"/>
    </xf>
    <xf numFmtId="2" fontId="0" fillId="13" borderId="53" xfId="2" applyFont="1" applyFill="1" applyBorder="1" applyAlignment="1">
      <alignment horizontal="center"/>
    </xf>
    <xf numFmtId="0" fontId="0" fillId="0" borderId="18" xfId="0" applyBorder="1" applyAlignment="1">
      <alignment horizontal="left"/>
    </xf>
    <xf numFmtId="0" fontId="0" fillId="0" borderId="1" xfId="0" applyBorder="1" applyAlignment="1">
      <alignment horizontal="left"/>
    </xf>
    <xf numFmtId="0" fontId="0" fillId="6" borderId="1" xfId="0" applyFill="1" applyBorder="1" applyAlignment="1" applyProtection="1">
      <alignment horizontal="center" vertical="center" wrapText="1"/>
      <protection locked="0"/>
    </xf>
    <xf numFmtId="0" fontId="0" fillId="0" borderId="19" xfId="0" applyBorder="1" applyAlignment="1" applyProtection="1">
      <alignment horizontal="left" vertical="top" wrapText="1"/>
      <protection locked="0"/>
    </xf>
    <xf numFmtId="0" fontId="2" fillId="4" borderId="72" xfId="0" applyFont="1" applyFill="1" applyBorder="1" applyAlignment="1">
      <alignment horizontal="center" vertical="center" wrapText="1"/>
    </xf>
    <xf numFmtId="0" fontId="2" fillId="4" borderId="61" xfId="0" applyFont="1" applyFill="1" applyBorder="1" applyAlignment="1">
      <alignment horizontal="center" vertical="center" wrapText="1"/>
    </xf>
    <xf numFmtId="0" fontId="2" fillId="4" borderId="63" xfId="0" applyFont="1" applyFill="1" applyBorder="1" applyAlignment="1">
      <alignment horizontal="center" vertical="center" wrapText="1"/>
    </xf>
    <xf numFmtId="0" fontId="2" fillId="14" borderId="72" xfId="0" applyFont="1" applyFill="1" applyBorder="1" applyAlignment="1">
      <alignment horizontal="center" vertical="center" wrapText="1"/>
    </xf>
    <xf numFmtId="0" fontId="2" fillId="14" borderId="61" xfId="0" applyFont="1" applyFill="1" applyBorder="1" applyAlignment="1">
      <alignment horizontal="center" vertical="center" wrapText="1"/>
    </xf>
    <xf numFmtId="0" fontId="2" fillId="14" borderId="63" xfId="0" applyFont="1" applyFill="1" applyBorder="1" applyAlignment="1">
      <alignment horizontal="center" vertical="center" wrapText="1"/>
    </xf>
    <xf numFmtId="0" fontId="0" fillId="6" borderId="1" xfId="0" applyFill="1" applyBorder="1" applyAlignment="1" applyProtection="1">
      <alignment horizontal="left" vertical="center" wrapText="1"/>
      <protection locked="0"/>
    </xf>
    <xf numFmtId="0" fontId="0" fillId="6" borderId="11" xfId="0" applyFill="1" applyBorder="1" applyAlignment="1" applyProtection="1">
      <alignment horizontal="center" vertical="center" wrapText="1"/>
      <protection locked="0"/>
    </xf>
    <xf numFmtId="0" fontId="0" fillId="6" borderId="20" xfId="0" applyFill="1" applyBorder="1" applyAlignment="1" applyProtection="1">
      <alignment horizontal="left" vertical="center" wrapText="1"/>
      <protection locked="0"/>
    </xf>
    <xf numFmtId="0" fontId="4" fillId="19" borderId="30" xfId="0" applyFont="1" applyFill="1" applyBorder="1" applyAlignment="1">
      <alignment horizontal="left" vertical="center" wrapText="1"/>
    </xf>
    <xf numFmtId="0" fontId="4" fillId="19" borderId="6" xfId="0" applyFont="1" applyFill="1" applyBorder="1" applyAlignment="1">
      <alignment horizontal="left" vertical="center" wrapText="1"/>
    </xf>
    <xf numFmtId="0" fontId="4" fillId="19" borderId="6"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19" borderId="44"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2" fontId="0" fillId="6" borderId="2" xfId="0" applyNumberFormat="1" applyFill="1" applyBorder="1" applyAlignment="1" applyProtection="1">
      <alignment horizontal="right"/>
      <protection locked="0"/>
    </xf>
    <xf numFmtId="2" fontId="0" fillId="6" borderId="3" xfId="0" applyNumberFormat="1" applyFill="1" applyBorder="1" applyAlignment="1" applyProtection="1">
      <alignment horizontal="right"/>
      <protection locked="0"/>
    </xf>
    <xf numFmtId="2" fontId="0" fillId="13" borderId="1" xfId="0" applyNumberFormat="1" applyFill="1" applyBorder="1" applyAlignment="1">
      <alignment horizontal="right"/>
    </xf>
    <xf numFmtId="0" fontId="2" fillId="0" borderId="1" xfId="0" applyFont="1" applyBorder="1" applyAlignment="1">
      <alignment horizontal="center" vertical="center" wrapText="1"/>
    </xf>
    <xf numFmtId="0" fontId="7" fillId="0" borderId="18" xfId="3" applyFont="1" applyBorder="1" applyAlignment="1" applyProtection="1">
      <alignment horizontal="center" vertical="center" wrapText="1"/>
    </xf>
    <xf numFmtId="0" fontId="7" fillId="0" borderId="1" xfId="3" applyFont="1" applyBorder="1" applyAlignment="1" applyProtection="1">
      <alignment horizontal="center" vertical="center" wrapText="1"/>
    </xf>
    <xf numFmtId="0" fontId="7" fillId="0" borderId="11" xfId="3" applyFont="1" applyBorder="1" applyAlignment="1" applyProtection="1">
      <alignment horizontal="center" vertical="center" wrapText="1"/>
    </xf>
    <xf numFmtId="0" fontId="0" fillId="6" borderId="18" xfId="0" applyFill="1" applyBorder="1" applyAlignment="1" applyProtection="1">
      <alignment horizontal="center"/>
      <protection locked="0"/>
    </xf>
    <xf numFmtId="0" fontId="0" fillId="6" borderId="11" xfId="0" applyFill="1" applyBorder="1" applyAlignment="1" applyProtection="1">
      <alignment horizontal="center"/>
      <protection locked="0"/>
    </xf>
    <xf numFmtId="0" fontId="13" fillId="6" borderId="1" xfId="0" applyFont="1" applyFill="1" applyBorder="1" applyAlignment="1" applyProtection="1">
      <alignment horizontal="center" vertical="center"/>
      <protection locked="0"/>
    </xf>
    <xf numFmtId="0" fontId="13" fillId="6" borderId="11" xfId="0" applyFont="1" applyFill="1" applyBorder="1" applyAlignment="1" applyProtection="1">
      <alignment horizontal="center" vertical="center"/>
      <protection locked="0"/>
    </xf>
    <xf numFmtId="0" fontId="0" fillId="6" borderId="6" xfId="0" applyFill="1" applyBorder="1" applyAlignment="1" applyProtection="1">
      <alignment horizontal="center"/>
      <protection locked="0"/>
    </xf>
    <xf numFmtId="2" fontId="0" fillId="13" borderId="30" xfId="2" applyFont="1" applyFill="1" applyBorder="1" applyAlignment="1">
      <alignment horizontal="right" vertical="center"/>
    </xf>
    <xf numFmtId="2" fontId="0" fillId="13" borderId="6" xfId="2" applyFont="1" applyFill="1" applyBorder="1" applyAlignment="1">
      <alignment horizontal="right" vertical="center"/>
    </xf>
    <xf numFmtId="2" fontId="0" fillId="13" borderId="37" xfId="2" applyFont="1" applyFill="1" applyBorder="1" applyAlignment="1">
      <alignment horizontal="right" vertical="center"/>
    </xf>
    <xf numFmtId="2" fontId="0" fillId="13" borderId="27" xfId="2" applyFont="1" applyFill="1" applyBorder="1" applyAlignment="1">
      <alignment horizontal="right" vertical="center"/>
    </xf>
    <xf numFmtId="2" fontId="0" fillId="13" borderId="36" xfId="2" applyFont="1" applyFill="1" applyBorder="1" applyAlignment="1">
      <alignment horizontal="right" vertical="center"/>
    </xf>
    <xf numFmtId="2" fontId="0" fillId="13" borderId="12" xfId="2" applyFont="1" applyFill="1" applyBorder="1" applyAlignment="1">
      <alignment horizontal="right" vertical="center"/>
    </xf>
    <xf numFmtId="2" fontId="0" fillId="13" borderId="13" xfId="2" applyFont="1" applyFill="1" applyBorder="1" applyAlignment="1">
      <alignment horizontal="right" vertical="center"/>
    </xf>
    <xf numFmtId="170" fontId="0" fillId="13" borderId="1" xfId="2" applyNumberFormat="1" applyFont="1" applyFill="1" applyAlignment="1">
      <alignment horizontal="right"/>
    </xf>
    <xf numFmtId="170" fontId="0" fillId="13" borderId="11" xfId="2" applyNumberFormat="1" applyFont="1" applyFill="1" applyBorder="1" applyAlignment="1">
      <alignment horizontal="right"/>
    </xf>
    <xf numFmtId="14" fontId="0" fillId="13" borderId="20" xfId="0" applyNumberFormat="1" applyFill="1" applyBorder="1" applyAlignment="1">
      <alignment horizontal="center" vertical="top" wrapText="1"/>
    </xf>
    <xf numFmtId="14" fontId="0" fillId="13" borderId="14" xfId="0" applyNumberFormat="1" applyFill="1" applyBorder="1" applyAlignment="1">
      <alignment horizontal="center" vertical="top" wrapText="1"/>
    </xf>
    <xf numFmtId="0" fontId="4" fillId="13" borderId="43"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13" borderId="41"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13" borderId="56" xfId="0" applyFont="1" applyFill="1" applyBorder="1" applyAlignment="1">
      <alignment horizontal="center" vertical="center"/>
      <extLst>
        <ext xmlns:xfpb="http://schemas.microsoft.com/office/spreadsheetml/2022/featurepropertybag" uri="{C7286773-470A-42A8-94C5-96B5CB345126}">
          <xfpb:xfComplement i="0"/>
        </ext>
      </extLst>
    </xf>
    <xf numFmtId="0" fontId="13" fillId="19" borderId="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3" fillId="19" borderId="1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170" fontId="0" fillId="13" borderId="20" xfId="2" applyNumberFormat="1" applyFont="1" applyFill="1" applyBorder="1" applyAlignment="1">
      <alignment horizontal="right"/>
    </xf>
    <xf numFmtId="170" fontId="0" fillId="13" borderId="14" xfId="2" applyNumberFormat="1" applyFont="1" applyFill="1" applyBorder="1" applyAlignment="1">
      <alignment horizontal="right"/>
    </xf>
    <xf numFmtId="0" fontId="6" fillId="6" borderId="1" xfId="3" applyFill="1" applyBorder="1" applyAlignment="1" applyProtection="1">
      <alignment horizontal="center"/>
      <protection locked="0"/>
    </xf>
    <xf numFmtId="0" fontId="4" fillId="19" borderId="1" xfId="0" applyFont="1" applyFill="1" applyBorder="1" applyAlignment="1">
      <alignment horizontal="left" vertical="center" wrapText="1"/>
    </xf>
    <xf numFmtId="0" fontId="6" fillId="0" borderId="7" xfId="3" applyFill="1" applyBorder="1" applyAlignment="1">
      <alignment horizontal="center" vertical="center"/>
    </xf>
    <xf numFmtId="0" fontId="6" fillId="0" borderId="9" xfId="3" applyFill="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0" xfId="0" applyFont="1" applyBorder="1" applyAlignment="1">
      <alignment horizontal="center" vertical="center" wrapText="1"/>
    </xf>
    <xf numFmtId="0" fontId="0" fillId="6" borderId="19" xfId="0" applyFill="1" applyBorder="1" applyAlignment="1" applyProtection="1">
      <alignment horizontal="center"/>
      <protection locked="0"/>
    </xf>
    <xf numFmtId="0" fontId="0" fillId="6" borderId="14" xfId="0" applyFill="1" applyBorder="1" applyAlignment="1" applyProtection="1">
      <alignment horizontal="center"/>
      <protection locked="0"/>
    </xf>
    <xf numFmtId="0" fontId="2" fillId="0" borderId="0" xfId="0" applyFont="1" applyAlignment="1">
      <alignment horizontal="center" vertical="center" wrapText="1"/>
    </xf>
    <xf numFmtId="0" fontId="0" fillId="0" borderId="1"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2" fontId="0" fillId="0" borderId="1" xfId="0" applyNumberFormat="1" applyBorder="1" applyAlignment="1" applyProtection="1">
      <alignment horizontal="right" wrapText="1"/>
      <protection locked="0"/>
    </xf>
    <xf numFmtId="2" fontId="0" fillId="0" borderId="11" xfId="0" applyNumberFormat="1" applyBorder="1" applyAlignment="1" applyProtection="1">
      <alignment horizontal="right" wrapText="1"/>
      <protection locked="0"/>
    </xf>
    <xf numFmtId="2" fontId="0" fillId="6" borderId="27" xfId="0" applyNumberFormat="1" applyFill="1" applyBorder="1" applyAlignment="1" applyProtection="1">
      <alignment horizontal="right" wrapText="1"/>
      <protection locked="0"/>
    </xf>
    <xf numFmtId="0" fontId="0" fillId="0" borderId="48" xfId="0" applyBorder="1" applyAlignment="1" applyProtection="1">
      <alignment vertical="center" wrapText="1"/>
      <protection locked="0"/>
    </xf>
    <xf numFmtId="0" fontId="0" fillId="0" borderId="20" xfId="0" applyBorder="1" applyAlignment="1" applyProtection="1">
      <alignment vertical="center" wrapText="1"/>
      <protection locked="0"/>
    </xf>
    <xf numFmtId="0" fontId="0" fillId="0" borderId="20" xfId="0" applyBorder="1" applyAlignment="1" applyProtection="1">
      <alignment horizontal="center" vertical="center"/>
      <protection locked="0"/>
    </xf>
    <xf numFmtId="0" fontId="0" fillId="0" borderId="6" xfId="0" applyBorder="1" applyAlignment="1" applyProtection="1">
      <alignment vertical="center" wrapText="1"/>
      <protection locked="0"/>
    </xf>
    <xf numFmtId="2" fontId="0" fillId="13" borderId="4" xfId="2" applyFont="1" applyFill="1" applyBorder="1" applyAlignment="1">
      <alignment horizontal="right" vertical="center"/>
    </xf>
    <xf numFmtId="2" fontId="0" fillId="13" borderId="53" xfId="2" applyFont="1" applyFill="1" applyBorder="1" applyAlignment="1">
      <alignment horizontal="right" vertical="center"/>
    </xf>
    <xf numFmtId="2" fontId="0" fillId="13" borderId="44" xfId="2" applyFont="1" applyFill="1" applyBorder="1" applyAlignment="1">
      <alignment horizontal="right" vertical="center"/>
    </xf>
    <xf numFmtId="0" fontId="0" fillId="19" borderId="2" xfId="0" applyFill="1" applyBorder="1" applyAlignment="1" applyProtection="1">
      <alignment horizontal="left" vertical="center" wrapText="1"/>
      <protection locked="0"/>
    </xf>
    <xf numFmtId="0" fontId="0" fillId="19" borderId="3" xfId="0" applyFill="1" applyBorder="1" applyAlignment="1" applyProtection="1">
      <alignment horizontal="left" vertical="center" wrapText="1"/>
      <protection locked="0"/>
    </xf>
    <xf numFmtId="0" fontId="0" fillId="19" borderId="21" xfId="0" applyFill="1" applyBorder="1" applyAlignment="1" applyProtection="1">
      <alignment horizontal="left" vertical="center" wrapText="1"/>
      <protection locked="0"/>
    </xf>
    <xf numFmtId="0" fontId="0" fillId="6" borderId="1" xfId="0" applyFill="1" applyBorder="1" applyAlignment="1" applyProtection="1">
      <alignment horizontal="left" vertical="top" wrapText="1"/>
      <protection locked="0"/>
    </xf>
    <xf numFmtId="0" fontId="0" fillId="6" borderId="11" xfId="0" applyFill="1" applyBorder="1" applyAlignment="1" applyProtection="1">
      <alignment horizontal="left" vertical="top" wrapText="1"/>
      <protection locked="0"/>
    </xf>
    <xf numFmtId="0" fontId="0" fillId="6" borderId="19" xfId="0" applyFill="1" applyBorder="1" applyAlignment="1" applyProtection="1">
      <alignment horizontal="left" vertical="top" wrapText="1"/>
      <protection locked="0"/>
    </xf>
    <xf numFmtId="0" fontId="2" fillId="4" borderId="72" xfId="0" applyFont="1" applyFill="1" applyBorder="1" applyAlignment="1">
      <alignment horizontal="center"/>
    </xf>
    <xf numFmtId="0" fontId="2" fillId="4" borderId="61" xfId="0" applyFont="1" applyFill="1" applyBorder="1" applyAlignment="1">
      <alignment horizontal="center"/>
    </xf>
    <xf numFmtId="0" fontId="2" fillId="4" borderId="63" xfId="0" applyFont="1" applyFill="1" applyBorder="1" applyAlignment="1">
      <alignment horizontal="center"/>
    </xf>
    <xf numFmtId="0" fontId="23" fillId="19" borderId="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3" fillId="19" borderId="1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0" borderId="18" xfId="3" applyFont="1" applyFill="1" applyBorder="1" applyAlignment="1" applyProtection="1">
      <alignment horizontal="center" vertical="center" wrapText="1"/>
    </xf>
    <xf numFmtId="0" fontId="7" fillId="0" borderId="1" xfId="3" applyFont="1" applyFill="1" applyBorder="1" applyAlignment="1" applyProtection="1">
      <alignment horizontal="center" vertical="center" wrapText="1"/>
    </xf>
    <xf numFmtId="0" fontId="7" fillId="0" borderId="11" xfId="3" applyFont="1" applyFill="1" applyBorder="1" applyAlignment="1" applyProtection="1">
      <alignment horizontal="center" vertical="center" wrapText="1"/>
    </xf>
    <xf numFmtId="2" fontId="0" fillId="13" borderId="11" xfId="0" applyNumberFormat="1" applyFill="1" applyBorder="1" applyAlignment="1">
      <alignment horizontal="right"/>
    </xf>
    <xf numFmtId="0" fontId="0" fillId="13" borderId="3" xfId="0" applyFill="1" applyBorder="1" applyAlignment="1">
      <alignment horizontal="center"/>
    </xf>
    <xf numFmtId="0" fontId="0" fillId="13" borderId="27" xfId="0" applyFill="1" applyBorder="1" applyAlignment="1">
      <alignment horizontal="center"/>
    </xf>
    <xf numFmtId="0" fontId="0" fillId="13" borderId="4" xfId="0" applyFill="1" applyBorder="1" applyAlignment="1">
      <alignment horizontal="center"/>
    </xf>
    <xf numFmtId="0" fontId="2" fillId="0" borderId="11" xfId="0" applyFont="1" applyBorder="1" applyAlignment="1">
      <alignment horizontal="center" vertical="center" wrapText="1"/>
    </xf>
    <xf numFmtId="0" fontId="0" fillId="13" borderId="13" xfId="0" applyFill="1" applyBorder="1" applyAlignment="1">
      <alignment horizontal="center"/>
    </xf>
    <xf numFmtId="0" fontId="0" fillId="7" borderId="16" xfId="0" applyFill="1" applyBorder="1" applyAlignment="1" applyProtection="1">
      <alignment horizontal="center"/>
      <protection locked="0"/>
    </xf>
    <xf numFmtId="0" fontId="0" fillId="7" borderId="24" xfId="0" applyFill="1" applyBorder="1" applyAlignment="1" applyProtection="1">
      <alignment horizontal="center"/>
      <protection locked="0"/>
    </xf>
    <xf numFmtId="0" fontId="2" fillId="0" borderId="20" xfId="0" applyFont="1" applyBorder="1" applyAlignment="1">
      <alignment horizontal="left"/>
    </xf>
    <xf numFmtId="0" fontId="2" fillId="0" borderId="14"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2" fontId="0" fillId="0" borderId="20" xfId="0" applyNumberFormat="1" applyBorder="1" applyAlignment="1" applyProtection="1">
      <alignment horizontal="right" wrapText="1"/>
      <protection locked="0"/>
    </xf>
    <xf numFmtId="2" fontId="0" fillId="0" borderId="14" xfId="0" applyNumberFormat="1" applyBorder="1" applyAlignment="1" applyProtection="1">
      <alignment horizontal="right" wrapText="1"/>
      <protection locked="0"/>
    </xf>
    <xf numFmtId="2" fontId="2" fillId="0" borderId="0" xfId="0" applyNumberFormat="1" applyFont="1" applyAlignment="1">
      <alignment horizontal="center" vertical="center"/>
    </xf>
    <xf numFmtId="0" fontId="2" fillId="0" borderId="18" xfId="0" applyFont="1" applyBorder="1" applyAlignment="1">
      <alignment horizontal="center" vertical="center" wrapText="1"/>
    </xf>
    <xf numFmtId="0" fontId="0" fillId="0" borderId="18" xfId="0" applyBorder="1" applyAlignment="1" applyProtection="1">
      <alignment horizontal="center"/>
      <protection locked="0"/>
    </xf>
    <xf numFmtId="0" fontId="0" fillId="0" borderId="1" xfId="0" applyBorder="1" applyAlignment="1" applyProtection="1">
      <alignment horizontal="center"/>
      <protection locked="0"/>
    </xf>
    <xf numFmtId="0" fontId="0" fillId="0" borderId="11" xfId="0" applyBorder="1" applyAlignment="1" applyProtection="1">
      <alignment horizontal="center"/>
      <protection locked="0"/>
    </xf>
    <xf numFmtId="2" fontId="0" fillId="6" borderId="37" xfId="0" applyNumberFormat="1" applyFill="1" applyBorder="1" applyAlignment="1" applyProtection="1">
      <alignment horizontal="right" wrapText="1"/>
      <protection locked="0"/>
    </xf>
    <xf numFmtId="2" fontId="0" fillId="6" borderId="13" xfId="0" applyNumberFormat="1" applyFill="1" applyBorder="1" applyAlignment="1" applyProtection="1">
      <alignment horizontal="right" wrapText="1"/>
      <protection locked="0"/>
    </xf>
    <xf numFmtId="2" fontId="0" fillId="6" borderId="46" xfId="0" applyNumberFormat="1" applyFill="1" applyBorder="1" applyAlignment="1" applyProtection="1">
      <alignment horizontal="right" wrapText="1"/>
      <protection locked="0"/>
    </xf>
    <xf numFmtId="0" fontId="0" fillId="0" borderId="6" xfId="0" applyBorder="1" applyAlignment="1" applyProtection="1">
      <alignment horizontal="center" vertical="center"/>
      <protection locked="0"/>
    </xf>
    <xf numFmtId="0" fontId="2" fillId="3" borderId="7" xfId="0" applyFont="1" applyFill="1" applyBorder="1" applyAlignment="1">
      <alignment horizontal="center" vertical="center"/>
    </xf>
    <xf numFmtId="0" fontId="2" fillId="3" borderId="9" xfId="0" applyFont="1" applyFill="1" applyBorder="1" applyAlignment="1">
      <alignment horizontal="center" vertical="center"/>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2" fontId="0" fillId="6" borderId="73" xfId="0" applyNumberFormat="1" applyFill="1" applyBorder="1" applyAlignment="1" applyProtection="1">
      <alignment horizontal="right" wrapText="1"/>
      <protection locked="0"/>
    </xf>
    <xf numFmtId="2" fontId="0" fillId="6" borderId="16" xfId="0" applyNumberFormat="1" applyFill="1" applyBorder="1" applyAlignment="1" applyProtection="1">
      <alignment horizontal="right" wrapText="1"/>
      <protection locked="0"/>
    </xf>
    <xf numFmtId="2" fontId="0" fillId="6" borderId="24" xfId="0" applyNumberFormat="1" applyFill="1" applyBorder="1" applyAlignment="1" applyProtection="1">
      <alignment horizontal="right" wrapText="1"/>
      <protection locked="0"/>
    </xf>
    <xf numFmtId="0" fontId="24" fillId="19" borderId="3" xfId="0" applyFont="1" applyFill="1" applyBorder="1" applyAlignment="1">
      <alignment horizontal="left" vertical="center" wrapText="1"/>
    </xf>
    <xf numFmtId="0" fontId="24" fillId="19" borderId="4" xfId="0" applyFont="1" applyFill="1" applyBorder="1" applyAlignment="1">
      <alignment horizontal="left" vertical="center" wrapText="1"/>
    </xf>
    <xf numFmtId="0" fontId="0" fillId="19" borderId="3"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2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2" fontId="0" fillId="13" borderId="8" xfId="0" applyNumberFormat="1" applyFill="1" applyBorder="1" applyAlignment="1">
      <alignment horizontal="right"/>
    </xf>
    <xf numFmtId="2" fontId="0" fillId="13" borderId="9" xfId="0" applyNumberFormat="1" applyFill="1" applyBorder="1" applyAlignment="1">
      <alignment horizontal="right"/>
    </xf>
    <xf numFmtId="0" fontId="2" fillId="0" borderId="0" xfId="0" applyFont="1" applyAlignment="1">
      <alignment horizontal="center"/>
    </xf>
    <xf numFmtId="2" fontId="0" fillId="13" borderId="6" xfId="0" applyNumberFormat="1" applyFill="1" applyBorder="1" applyAlignment="1">
      <alignment horizontal="right"/>
    </xf>
    <xf numFmtId="2" fontId="0" fillId="13" borderId="44" xfId="0" applyNumberFormat="1" applyFill="1" applyBorder="1" applyAlignment="1">
      <alignment horizontal="right"/>
    </xf>
    <xf numFmtId="0" fontId="6" fillId="0" borderId="56" xfId="3" applyBorder="1" applyAlignment="1">
      <alignment horizontal="center" wrapText="1"/>
    </xf>
    <xf numFmtId="0" fontId="2" fillId="3" borderId="33"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2" fontId="0" fillId="13" borderId="33" xfId="2" applyFont="1" applyFill="1" applyBorder="1" applyAlignment="1">
      <alignment horizontal="center" vertical="center"/>
    </xf>
    <xf numFmtId="2" fontId="0" fillId="13" borderId="34" xfId="2" applyFont="1" applyFill="1" applyBorder="1" applyAlignment="1">
      <alignment horizontal="center" vertical="center"/>
    </xf>
    <xf numFmtId="2" fontId="0" fillId="13" borderId="35" xfId="2" applyFont="1" applyFill="1" applyBorder="1" applyAlignment="1">
      <alignment horizontal="center" vertical="center"/>
    </xf>
    <xf numFmtId="2" fontId="0" fillId="6" borderId="1" xfId="0" applyNumberFormat="1" applyFill="1" applyBorder="1" applyAlignment="1" applyProtection="1">
      <alignment horizontal="right" wrapText="1"/>
      <protection locked="0"/>
    </xf>
    <xf numFmtId="2" fontId="0" fillId="6" borderId="11" xfId="0" applyNumberFormat="1" applyFill="1" applyBorder="1" applyAlignment="1" applyProtection="1">
      <alignment horizontal="right" wrapText="1"/>
      <protection locked="0"/>
    </xf>
    <xf numFmtId="0" fontId="0" fillId="7" borderId="0" xfId="0" applyFill="1" applyAlignment="1">
      <alignment horizontal="left" wrapText="1"/>
    </xf>
    <xf numFmtId="0" fontId="0" fillId="7" borderId="0" xfId="0" applyFill="1" applyAlignment="1">
      <alignment horizontal="left" vertical="center"/>
    </xf>
    <xf numFmtId="2" fontId="1" fillId="13" borderId="61" xfId="2" applyFill="1" applyBorder="1" applyAlignment="1">
      <alignment horizontal="center" vertical="center"/>
    </xf>
    <xf numFmtId="2" fontId="1" fillId="13" borderId="63" xfId="2" applyFill="1" applyBorder="1" applyAlignment="1">
      <alignment horizontal="center" vertical="center"/>
    </xf>
    <xf numFmtId="0" fontId="2" fillId="3" borderId="7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2" fillId="7" borderId="0" xfId="0" applyFont="1" applyFill="1" applyAlignment="1">
      <alignment horizontal="center" vertical="center"/>
    </xf>
    <xf numFmtId="2" fontId="0" fillId="13" borderId="1" xfId="0" applyNumberFormat="1" applyFill="1" applyBorder="1" applyAlignment="1">
      <alignment horizontal="right" wrapText="1"/>
    </xf>
    <xf numFmtId="2" fontId="0" fillId="13" borderId="11" xfId="0" applyNumberFormat="1" applyFill="1" applyBorder="1" applyAlignment="1">
      <alignment horizontal="right" wrapText="1"/>
    </xf>
    <xf numFmtId="2" fontId="0" fillId="13" borderId="20" xfId="0" applyNumberFormat="1" applyFill="1" applyBorder="1" applyAlignment="1">
      <alignment horizontal="right" wrapText="1"/>
    </xf>
    <xf numFmtId="2" fontId="0" fillId="13" borderId="14" xfId="0" applyNumberFormat="1" applyFill="1" applyBorder="1" applyAlignment="1">
      <alignment horizontal="right" wrapText="1"/>
    </xf>
    <xf numFmtId="0" fontId="10" fillId="19" borderId="18" xfId="3" applyFont="1" applyFill="1" applyBorder="1" applyAlignment="1" applyProtection="1">
      <alignment horizontal="center" vertical="center" wrapText="1"/>
    </xf>
    <xf numFmtId="0" fontId="37" fillId="19" borderId="1" xfId="3" applyFont="1" applyFill="1" applyBorder="1" applyAlignment="1" applyProtection="1">
      <alignment horizontal="center" vertical="center" wrapText="1"/>
    </xf>
    <xf numFmtId="2" fontId="9" fillId="6" borderId="1" xfId="3" applyNumberFormat="1" applyFont="1" applyFill="1" applyBorder="1" applyAlignment="1" applyProtection="1">
      <alignment horizontal="right" vertical="center" wrapText="1"/>
      <protection locked="0"/>
    </xf>
    <xf numFmtId="2" fontId="9" fillId="6" borderId="11" xfId="3" applyNumberFormat="1" applyFont="1" applyFill="1" applyBorder="1" applyAlignment="1" applyProtection="1">
      <alignment horizontal="right" vertical="center" wrapText="1"/>
      <protection locked="0"/>
    </xf>
    <xf numFmtId="10" fontId="0" fillId="13" borderId="20" xfId="0" applyNumberFormat="1" applyFill="1" applyBorder="1" applyAlignment="1">
      <alignment horizontal="right" vertical="center"/>
    </xf>
    <xf numFmtId="10" fontId="0" fillId="13" borderId="14" xfId="0" applyNumberFormat="1" applyFill="1" applyBorder="1" applyAlignment="1">
      <alignment horizontal="right"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2" fontId="0" fillId="0" borderId="57" xfId="0" applyNumberFormat="1" applyBorder="1" applyAlignment="1" applyProtection="1">
      <alignment horizontal="right" vertical="center"/>
      <protection locked="0"/>
    </xf>
    <xf numFmtId="2" fontId="0" fillId="0" borderId="58" xfId="0" applyNumberFormat="1" applyBorder="1" applyAlignment="1" applyProtection="1">
      <alignment horizontal="right" vertical="center"/>
      <protection locked="0"/>
    </xf>
    <xf numFmtId="0" fontId="2" fillId="3" borderId="72" xfId="0" applyFont="1" applyFill="1" applyBorder="1" applyAlignment="1">
      <alignment horizontal="center" wrapText="1"/>
    </xf>
    <xf numFmtId="0" fontId="2" fillId="3" borderId="61" xfId="0" applyFont="1" applyFill="1" applyBorder="1" applyAlignment="1">
      <alignment horizontal="center" wrapText="1"/>
    </xf>
    <xf numFmtId="0" fontId="2" fillId="3" borderId="63" xfId="0" applyFont="1" applyFill="1" applyBorder="1" applyAlignment="1">
      <alignment horizontal="center" wrapText="1"/>
    </xf>
    <xf numFmtId="0" fontId="0" fillId="0" borderId="50" xfId="0" applyBorder="1" applyAlignment="1" applyProtection="1">
      <alignment horizontal="center" vertical="center" wrapText="1"/>
      <protection locked="0"/>
    </xf>
    <xf numFmtId="0" fontId="0" fillId="0" borderId="85" xfId="0" applyBorder="1" applyAlignment="1" applyProtection="1">
      <alignment horizontal="center" vertical="center" wrapText="1"/>
      <protection locked="0"/>
    </xf>
    <xf numFmtId="2" fontId="0" fillId="6" borderId="73" xfId="0" applyNumberFormat="1" applyFill="1" applyBorder="1" applyAlignment="1" applyProtection="1">
      <alignment horizontal="right" vertical="center" wrapText="1"/>
      <protection locked="0"/>
    </xf>
    <xf numFmtId="2" fontId="0" fillId="6" borderId="16" xfId="0" applyNumberFormat="1" applyFill="1" applyBorder="1" applyAlignment="1" applyProtection="1">
      <alignment horizontal="right" vertical="center" wrapText="1"/>
      <protection locked="0"/>
    </xf>
    <xf numFmtId="2" fontId="0" fillId="6" borderId="17" xfId="0" applyNumberFormat="1" applyFill="1" applyBorder="1" applyAlignment="1" applyProtection="1">
      <alignment horizontal="right" vertical="center" wrapText="1"/>
      <protection locked="0"/>
    </xf>
    <xf numFmtId="2" fontId="0" fillId="6" borderId="2" xfId="0" applyNumberFormat="1" applyFill="1" applyBorder="1" applyAlignment="1" applyProtection="1">
      <alignment horizontal="right" vertical="center" wrapText="1"/>
      <protection locked="0"/>
    </xf>
    <xf numFmtId="2" fontId="0" fillId="6" borderId="3" xfId="0" applyNumberFormat="1" applyFill="1" applyBorder="1" applyAlignment="1" applyProtection="1">
      <alignment horizontal="right" vertical="center" wrapText="1"/>
      <protection locked="0"/>
    </xf>
    <xf numFmtId="2" fontId="0" fillId="6" borderId="21" xfId="0" applyNumberFormat="1" applyFill="1" applyBorder="1" applyAlignment="1" applyProtection="1">
      <alignment horizontal="right" vertical="center" wrapText="1"/>
      <protection locked="0"/>
    </xf>
    <xf numFmtId="10" fontId="0" fillId="13" borderId="37" xfId="0" applyNumberFormat="1" applyFill="1" applyBorder="1" applyAlignment="1">
      <alignment horizontal="right" vertical="center" wrapText="1"/>
    </xf>
    <xf numFmtId="10" fontId="0" fillId="13" borderId="27" xfId="0" applyNumberFormat="1" applyFill="1" applyBorder="1" applyAlignment="1">
      <alignment horizontal="right" vertical="center" wrapText="1"/>
    </xf>
    <xf numFmtId="10" fontId="0" fillId="13" borderId="36" xfId="0" applyNumberFormat="1" applyFill="1" applyBorder="1" applyAlignment="1">
      <alignment horizontal="right" vertical="center" wrapText="1"/>
    </xf>
    <xf numFmtId="0" fontId="2" fillId="3" borderId="28" xfId="0" applyFont="1" applyFill="1" applyBorder="1" applyAlignment="1">
      <alignment horizontal="center"/>
    </xf>
    <xf numFmtId="0" fontId="2" fillId="3" borderId="29" xfId="0" applyFont="1" applyFill="1" applyBorder="1" applyAlignment="1">
      <alignment horizontal="center"/>
    </xf>
    <xf numFmtId="0" fontId="2" fillId="3" borderId="31" xfId="0" applyFont="1" applyFill="1" applyBorder="1" applyAlignment="1">
      <alignment horizontal="center"/>
    </xf>
    <xf numFmtId="2" fontId="9" fillId="0" borderId="8" xfId="0" applyNumberFormat="1" applyFont="1" applyBorder="1" applyAlignment="1" applyProtection="1">
      <alignment horizontal="right" vertical="center" wrapText="1"/>
      <protection locked="0"/>
    </xf>
    <xf numFmtId="2" fontId="9" fillId="0" borderId="9" xfId="0" applyNumberFormat="1" applyFont="1" applyBorder="1" applyAlignment="1" applyProtection="1">
      <alignment horizontal="right" vertical="center" wrapText="1"/>
      <protection locked="0"/>
    </xf>
    <xf numFmtId="2" fontId="9" fillId="19" borderId="2" xfId="0" applyNumberFormat="1" applyFont="1" applyFill="1" applyBorder="1" applyAlignment="1" applyProtection="1">
      <alignment horizontal="right" vertical="center" wrapText="1"/>
      <protection locked="0"/>
    </xf>
    <xf numFmtId="2" fontId="9" fillId="19" borderId="3" xfId="0" applyNumberFormat="1" applyFont="1" applyFill="1" applyBorder="1" applyAlignment="1" applyProtection="1">
      <alignment horizontal="right" vertical="center" wrapText="1"/>
      <protection locked="0"/>
    </xf>
    <xf numFmtId="2" fontId="9" fillId="19" borderId="21" xfId="0" applyNumberFormat="1" applyFont="1" applyFill="1" applyBorder="1" applyAlignment="1" applyProtection="1">
      <alignment horizontal="right" vertical="center" wrapText="1"/>
      <protection locked="0"/>
    </xf>
    <xf numFmtId="2" fontId="0" fillId="13" borderId="2" xfId="0" applyNumberFormat="1" applyFill="1" applyBorder="1" applyAlignment="1" applyProtection="1">
      <alignment horizontal="right" vertical="center" wrapText="1"/>
      <protection locked="0"/>
    </xf>
    <xf numFmtId="2" fontId="0" fillId="13" borderId="3" xfId="0" applyNumberFormat="1" applyFill="1" applyBorder="1" applyAlignment="1" applyProtection="1">
      <alignment horizontal="right" vertical="center" wrapText="1"/>
      <protection locked="0"/>
    </xf>
    <xf numFmtId="2" fontId="0" fillId="13" borderId="21" xfId="0" applyNumberFormat="1" applyFill="1" applyBorder="1" applyAlignment="1" applyProtection="1">
      <alignment horizontal="right" vertical="center" wrapText="1"/>
      <protection locked="0"/>
    </xf>
    <xf numFmtId="2" fontId="0" fillId="13" borderId="37" xfId="0" applyNumberFormat="1" applyFill="1" applyBorder="1" applyAlignment="1" applyProtection="1">
      <alignment horizontal="right" vertical="center" wrapText="1"/>
      <protection locked="0"/>
    </xf>
    <xf numFmtId="2" fontId="0" fillId="13" borderId="27" xfId="0" applyNumberFormat="1" applyFill="1" applyBorder="1" applyAlignment="1" applyProtection="1">
      <alignment horizontal="right" vertical="center" wrapText="1"/>
      <protection locked="0"/>
    </xf>
    <xf numFmtId="2" fontId="0" fillId="13" borderId="36" xfId="0" applyNumberFormat="1" applyFill="1" applyBorder="1" applyAlignment="1" applyProtection="1">
      <alignment horizontal="right" vertical="center" wrapText="1"/>
      <protection locked="0"/>
    </xf>
    <xf numFmtId="0" fontId="7" fillId="8" borderId="1" xfId="0" applyFont="1" applyFill="1" applyBorder="1" applyAlignment="1">
      <alignment horizontal="center" vertical="center" wrapText="1"/>
    </xf>
    <xf numFmtId="0" fontId="7" fillId="8" borderId="11" xfId="0" applyFont="1" applyFill="1" applyBorder="1" applyAlignment="1">
      <alignment horizontal="center" vertical="center" wrapText="1"/>
    </xf>
    <xf numFmtId="2" fontId="0" fillId="0" borderId="1" xfId="0" applyNumberFormat="1" applyBorder="1" applyAlignment="1" applyProtection="1">
      <alignment horizontal="right" vertical="center" wrapText="1"/>
      <protection locked="0"/>
    </xf>
    <xf numFmtId="2" fontId="0" fillId="0" borderId="11" xfId="0" applyNumberFormat="1" applyBorder="1" applyAlignment="1" applyProtection="1">
      <alignment horizontal="right" vertical="center" wrapText="1"/>
      <protection locked="0"/>
    </xf>
    <xf numFmtId="2" fontId="0" fillId="19" borderId="73" xfId="0" applyNumberFormat="1" applyFill="1" applyBorder="1" applyAlignment="1" applyProtection="1">
      <alignment horizontal="right" vertical="center" wrapText="1"/>
      <protection locked="0"/>
    </xf>
    <xf numFmtId="2" fontId="0" fillId="19" borderId="16" xfId="0" applyNumberFormat="1" applyFill="1" applyBorder="1" applyAlignment="1" applyProtection="1">
      <alignment horizontal="right" vertical="center" wrapText="1"/>
      <protection locked="0"/>
    </xf>
    <xf numFmtId="2" fontId="0" fillId="19" borderId="17" xfId="0" applyNumberFormat="1" applyFill="1" applyBorder="1" applyAlignment="1" applyProtection="1">
      <alignment horizontal="right" vertical="center" wrapText="1"/>
      <protection locked="0"/>
    </xf>
    <xf numFmtId="10" fontId="0" fillId="13" borderId="37" xfId="0" applyNumberFormat="1" applyFill="1" applyBorder="1" applyAlignment="1" applyProtection="1">
      <alignment horizontal="right" vertical="center"/>
      <protection locked="0"/>
    </xf>
    <xf numFmtId="10" fontId="0" fillId="13" borderId="27" xfId="0" applyNumberFormat="1" applyFill="1" applyBorder="1" applyAlignment="1" applyProtection="1">
      <alignment horizontal="right" vertical="center"/>
      <protection locked="0"/>
    </xf>
    <xf numFmtId="10" fontId="0" fillId="13" borderId="36" xfId="0" applyNumberFormat="1" applyFill="1" applyBorder="1" applyAlignment="1" applyProtection="1">
      <alignment horizontal="right" vertical="center"/>
      <protection locked="0"/>
    </xf>
    <xf numFmtId="2" fontId="0" fillId="6" borderId="43" xfId="0" applyNumberFormat="1" applyFill="1" applyBorder="1" applyAlignment="1" applyProtection="1">
      <alignment horizontal="right" vertical="center" wrapText="1"/>
      <protection locked="0"/>
    </xf>
    <xf numFmtId="2" fontId="0" fillId="6" borderId="41" xfId="0" applyNumberFormat="1" applyFill="1" applyBorder="1" applyAlignment="1" applyProtection="1">
      <alignment horizontal="right" vertical="center" wrapText="1"/>
      <protection locked="0"/>
    </xf>
    <xf numFmtId="2" fontId="0" fillId="6" borderId="56" xfId="0" applyNumberFormat="1" applyFill="1" applyBorder="1" applyAlignment="1" applyProtection="1">
      <alignment horizontal="right" vertical="center" wrapText="1"/>
      <protection locked="0"/>
    </xf>
    <xf numFmtId="2" fontId="0" fillId="6" borderId="37" xfId="0" applyNumberFormat="1" applyFill="1" applyBorder="1" applyAlignment="1" applyProtection="1">
      <alignment horizontal="right" vertical="center" wrapText="1"/>
      <protection locked="0"/>
    </xf>
    <xf numFmtId="2" fontId="0" fillId="6" borderId="27" xfId="0" applyNumberFormat="1" applyFill="1" applyBorder="1" applyAlignment="1" applyProtection="1">
      <alignment horizontal="right" vertical="center" wrapText="1"/>
      <protection locked="0"/>
    </xf>
    <xf numFmtId="2" fontId="0" fillId="6" borderId="36" xfId="0" applyNumberFormat="1" applyFill="1" applyBorder="1" applyAlignment="1" applyProtection="1">
      <alignment horizontal="right" vertical="center" wrapText="1"/>
      <protection locked="0"/>
    </xf>
    <xf numFmtId="0" fontId="2" fillId="4" borderId="72" xfId="0" applyFont="1" applyFill="1" applyBorder="1" applyAlignment="1">
      <alignment horizontal="center" wrapText="1"/>
    </xf>
    <xf numFmtId="0" fontId="2" fillId="4" borderId="61" xfId="0" applyFont="1" applyFill="1" applyBorder="1" applyAlignment="1">
      <alignment horizontal="center" wrapText="1"/>
    </xf>
    <xf numFmtId="0" fontId="2" fillId="4" borderId="63" xfId="0" applyFont="1" applyFill="1" applyBorder="1" applyAlignment="1">
      <alignment horizontal="center" wrapText="1"/>
    </xf>
    <xf numFmtId="0" fontId="0" fillId="0" borderId="43"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4" fillId="7" borderId="68" xfId="0" applyFont="1" applyFill="1" applyBorder="1" applyAlignment="1">
      <alignment horizontal="center"/>
    </xf>
    <xf numFmtId="0" fontId="4" fillId="7" borderId="69" xfId="0" applyFont="1" applyFill="1" applyBorder="1" applyAlignment="1">
      <alignment horizontal="center"/>
    </xf>
    <xf numFmtId="0" fontId="4" fillId="7" borderId="70" xfId="0" applyFont="1" applyFill="1" applyBorder="1" applyAlignment="1">
      <alignment horizontal="center"/>
    </xf>
    <xf numFmtId="0" fontId="0" fillId="6" borderId="3"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2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19" borderId="18" xfId="0" applyFont="1" applyFill="1" applyBorder="1" applyAlignment="1">
      <alignment horizontal="center" vertical="center" wrapText="1"/>
    </xf>
    <xf numFmtId="0" fontId="4" fillId="19" borderId="1" xfId="0" applyFont="1" applyFill="1" applyBorder="1" applyAlignment="1">
      <alignment horizontal="center" vertical="center" wrapText="1"/>
    </xf>
    <xf numFmtId="0" fontId="4" fillId="19" borderId="11" xfId="0" applyFont="1" applyFill="1" applyBorder="1" applyAlignment="1">
      <alignment horizontal="center" vertical="center" wrapText="1"/>
    </xf>
    <xf numFmtId="2" fontId="0" fillId="13" borderId="19" xfId="0" applyNumberFormat="1" applyFill="1" applyBorder="1" applyAlignment="1">
      <alignment horizontal="right" wrapText="1"/>
    </xf>
    <xf numFmtId="0" fontId="2" fillId="4" borderId="38" xfId="0" applyFont="1" applyFill="1" applyBorder="1" applyAlignment="1">
      <alignment horizontal="center" wrapText="1"/>
    </xf>
    <xf numFmtId="0" fontId="2" fillId="4" borderId="65" xfId="0" applyFont="1" applyFill="1" applyBorder="1" applyAlignment="1">
      <alignment horizontal="center" wrapText="1"/>
    </xf>
    <xf numFmtId="0" fontId="2" fillId="4" borderId="42" xfId="0" applyFont="1" applyFill="1" applyBorder="1" applyAlignment="1">
      <alignment horizontal="center" wrapText="1"/>
    </xf>
    <xf numFmtId="2" fontId="0" fillId="13" borderId="37" xfId="0" applyNumberFormat="1" applyFill="1" applyBorder="1" applyAlignment="1">
      <alignment horizontal="right" vertical="center" wrapText="1"/>
    </xf>
    <xf numFmtId="2" fontId="0" fillId="13" borderId="27" xfId="0" applyNumberFormat="1" applyFill="1" applyBorder="1" applyAlignment="1">
      <alignment horizontal="right" vertical="center" wrapText="1"/>
    </xf>
    <xf numFmtId="2" fontId="0" fillId="13" borderId="36" xfId="0" applyNumberFormat="1" applyFill="1" applyBorder="1" applyAlignment="1">
      <alignment horizontal="right" vertical="center" wrapText="1"/>
    </xf>
    <xf numFmtId="0" fontId="0" fillId="6" borderId="5" xfId="0" applyFill="1" applyBorder="1" applyAlignment="1" applyProtection="1">
      <alignment horizontal="left" vertical="top"/>
      <protection locked="0"/>
    </xf>
    <xf numFmtId="0" fontId="0" fillId="6" borderId="47" xfId="0" applyFill="1" applyBorder="1" applyAlignment="1" applyProtection="1">
      <alignment horizontal="left" vertical="top"/>
      <protection locked="0"/>
    </xf>
    <xf numFmtId="0" fontId="0" fillId="0" borderId="37"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6" borderId="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1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7" borderId="25" xfId="0" applyFont="1" applyFill="1" applyBorder="1" applyAlignment="1">
      <alignment horizontal="center" vertical="center"/>
    </xf>
    <xf numFmtId="0" fontId="0" fillId="6" borderId="2"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 fillId="7" borderId="41" xfId="3" applyFill="1" applyBorder="1" applyAlignment="1">
      <alignment horizontal="center" wrapText="1"/>
    </xf>
    <xf numFmtId="0" fontId="6" fillId="7" borderId="56" xfId="3" applyFill="1" applyBorder="1" applyAlignment="1">
      <alignment horizontal="center" wrapText="1"/>
    </xf>
    <xf numFmtId="0" fontId="0" fillId="6" borderId="2" xfId="0" applyFill="1" applyBorder="1" applyAlignment="1" applyProtection="1">
      <alignment horizontal="left" vertical="center"/>
      <protection locked="0"/>
    </xf>
    <xf numFmtId="0" fontId="0" fillId="6" borderId="3" xfId="0" applyFill="1" applyBorder="1" applyAlignment="1" applyProtection="1">
      <alignment horizontal="left" vertical="center"/>
      <protection locked="0"/>
    </xf>
    <xf numFmtId="0" fontId="0" fillId="6" borderId="21" xfId="0" applyFill="1" applyBorder="1" applyAlignment="1" applyProtection="1">
      <alignment horizontal="left" vertical="center"/>
      <protection locked="0"/>
    </xf>
    <xf numFmtId="0" fontId="0" fillId="0" borderId="11" xfId="0" applyBorder="1" applyAlignment="1" applyProtection="1">
      <alignment horizontal="center" vertical="center"/>
      <protection locked="0"/>
    </xf>
    <xf numFmtId="0" fontId="0" fillId="6" borderId="27" xfId="0" applyFill="1" applyBorder="1" applyAlignment="1" applyProtection="1">
      <alignment horizontal="left" vertical="top"/>
      <protection locked="0"/>
    </xf>
    <xf numFmtId="0" fontId="0" fillId="6" borderId="36" xfId="0" applyFill="1" applyBorder="1" applyAlignment="1" applyProtection="1">
      <alignment horizontal="left" vertical="top"/>
      <protection locked="0"/>
    </xf>
    <xf numFmtId="0" fontId="0" fillId="6" borderId="1" xfId="0" applyFill="1" applyBorder="1" applyAlignment="1" applyProtection="1">
      <alignment horizontal="left" vertical="top"/>
      <protection locked="0"/>
    </xf>
    <xf numFmtId="0" fontId="0" fillId="6" borderId="11" xfId="0" applyFill="1" applyBorder="1" applyAlignment="1" applyProtection="1">
      <alignment horizontal="left" vertical="top"/>
      <protection locked="0"/>
    </xf>
    <xf numFmtId="0" fontId="2" fillId="7" borderId="19" xfId="0" applyFont="1" applyFill="1" applyBorder="1" applyAlignment="1">
      <alignment horizontal="left" vertical="center" wrapText="1"/>
    </xf>
    <xf numFmtId="0" fontId="2" fillId="7" borderId="20" xfId="0" applyFont="1" applyFill="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7" borderId="0" xfId="0" applyFont="1" applyFill="1" applyAlignment="1">
      <alignment horizontal="center" vertical="center" wrapText="1"/>
    </xf>
    <xf numFmtId="0" fontId="0" fillId="0" borderId="48"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19" borderId="72" xfId="0" applyFill="1" applyBorder="1" applyAlignment="1">
      <alignment horizontal="center" vertical="center" wrapText="1"/>
    </xf>
    <xf numFmtId="0" fontId="0" fillId="19" borderId="61" xfId="0" applyFill="1" applyBorder="1" applyAlignment="1">
      <alignment horizontal="center" vertical="center" wrapText="1"/>
    </xf>
    <xf numFmtId="0" fontId="0" fillId="19" borderId="79" xfId="0" applyFill="1" applyBorder="1" applyAlignment="1">
      <alignment horizontal="center" vertical="center" wrapText="1"/>
    </xf>
    <xf numFmtId="0" fontId="0" fillId="7" borderId="45" xfId="0" applyFill="1" applyBorder="1" applyAlignment="1">
      <alignment horizontal="left" vertical="center" wrapText="1"/>
    </xf>
    <xf numFmtId="0" fontId="0" fillId="7" borderId="22" xfId="0" applyFill="1" applyBorder="1" applyAlignment="1">
      <alignment horizontal="left" vertical="center" wrapText="1"/>
    </xf>
    <xf numFmtId="0" fontId="0" fillId="7" borderId="60" xfId="0" applyFill="1" applyBorder="1" applyAlignment="1">
      <alignment horizontal="left" vertical="center" wrapText="1"/>
    </xf>
    <xf numFmtId="0" fontId="2" fillId="4" borderId="33" xfId="0" applyFont="1" applyFill="1" applyBorder="1" applyAlignment="1">
      <alignment horizontal="center"/>
    </xf>
    <xf numFmtId="0" fontId="2" fillId="4" borderId="34" xfId="0" applyFont="1" applyFill="1" applyBorder="1" applyAlignment="1">
      <alignment horizontal="center"/>
    </xf>
    <xf numFmtId="0" fontId="2" fillId="4" borderId="35" xfId="0" applyFont="1" applyFill="1" applyBorder="1" applyAlignment="1">
      <alignment horizontal="center"/>
    </xf>
    <xf numFmtId="0" fontId="2" fillId="0" borderId="49" xfId="0" applyFont="1" applyBorder="1" applyAlignment="1">
      <alignment horizontal="left" vertical="center"/>
    </xf>
    <xf numFmtId="0" fontId="2" fillId="0" borderId="41" xfId="0" applyFont="1" applyBorder="1" applyAlignment="1">
      <alignment horizontal="left" vertical="center"/>
    </xf>
    <xf numFmtId="0" fontId="2" fillId="0" borderId="56" xfId="0" applyFont="1" applyBorder="1" applyAlignment="1">
      <alignment horizontal="left" vertical="center"/>
    </xf>
    <xf numFmtId="0" fontId="0" fillId="0" borderId="57" xfId="0" applyBorder="1" applyAlignment="1">
      <alignment horizontal="left" vertical="center" wrapText="1"/>
    </xf>
    <xf numFmtId="0" fontId="0" fillId="19" borderId="25" xfId="0" applyFill="1" applyBorder="1" applyAlignment="1">
      <alignment horizontal="left" vertical="center" wrapText="1" indent="2"/>
    </xf>
    <xf numFmtId="0" fontId="0" fillId="19" borderId="0" xfId="0" applyFill="1" applyAlignment="1">
      <alignment horizontal="left" vertical="center" wrapText="1" indent="2"/>
    </xf>
    <xf numFmtId="0" fontId="0" fillId="19" borderId="54" xfId="0" applyFill="1" applyBorder="1" applyAlignment="1">
      <alignment horizontal="left" vertical="center" wrapText="1" indent="2"/>
    </xf>
    <xf numFmtId="0" fontId="0" fillId="19" borderId="52" xfId="0" applyFill="1" applyBorder="1" applyAlignment="1">
      <alignment horizontal="left" vertical="center" wrapText="1" indent="2"/>
    </xf>
    <xf numFmtId="0" fontId="0" fillId="19" borderId="5" xfId="0" applyFill="1" applyBorder="1" applyAlignment="1">
      <alignment horizontal="left" vertical="center" wrapText="1" indent="2"/>
    </xf>
    <xf numFmtId="0" fontId="0" fillId="19" borderId="53" xfId="0" applyFill="1" applyBorder="1" applyAlignment="1">
      <alignment horizontal="left" vertical="center" wrapText="1" indent="2"/>
    </xf>
    <xf numFmtId="0" fontId="0" fillId="19" borderId="10" xfId="0" applyFill="1" applyBorder="1" applyAlignment="1">
      <alignment horizontal="left" vertical="center" wrapText="1" indent="2"/>
    </xf>
    <xf numFmtId="0" fontId="0" fillId="19" borderId="3" xfId="0" applyFill="1" applyBorder="1" applyAlignment="1">
      <alignment horizontal="left" vertical="center" wrapText="1" indent="2"/>
    </xf>
    <xf numFmtId="0" fontId="0" fillId="19" borderId="4" xfId="0" applyFill="1" applyBorder="1" applyAlignment="1">
      <alignment horizontal="left" vertical="center" wrapText="1" indent="2"/>
    </xf>
    <xf numFmtId="0" fontId="0" fillId="19" borderId="45" xfId="0" applyFill="1" applyBorder="1" applyAlignment="1">
      <alignment horizontal="left" vertical="center" wrapText="1" indent="2"/>
    </xf>
    <xf numFmtId="0" fontId="0" fillId="19" borderId="22" xfId="0" applyFill="1" applyBorder="1" applyAlignment="1">
      <alignment horizontal="left" vertical="center" wrapText="1" indent="2"/>
    </xf>
    <xf numFmtId="0" fontId="0" fillId="19" borderId="60" xfId="0" applyFill="1" applyBorder="1" applyAlignment="1">
      <alignment horizontal="left" vertical="center" wrapText="1" indent="2"/>
    </xf>
    <xf numFmtId="0" fontId="0" fillId="7" borderId="18" xfId="0" applyFill="1" applyBorder="1" applyAlignment="1">
      <alignment horizontal="left" vertical="center" wrapText="1"/>
    </xf>
    <xf numFmtId="0" fontId="0" fillId="7" borderId="1" xfId="0" applyFill="1" applyBorder="1" applyAlignment="1">
      <alignment horizontal="left" vertical="center" wrapText="1"/>
    </xf>
    <xf numFmtId="0" fontId="0" fillId="7" borderId="19" xfId="0" applyFill="1" applyBorder="1" applyAlignment="1">
      <alignment horizontal="left" vertical="center" wrapText="1"/>
    </xf>
    <xf numFmtId="0" fontId="0" fillId="7" borderId="20" xfId="0" applyFill="1" applyBorder="1" applyAlignment="1">
      <alignment horizontal="left" vertical="center" wrapText="1"/>
    </xf>
    <xf numFmtId="0" fontId="46" fillId="7" borderId="28" xfId="0" applyFont="1" applyFill="1" applyBorder="1" applyAlignment="1">
      <alignment horizontal="center" vertical="center" wrapText="1"/>
    </xf>
    <xf numFmtId="0" fontId="46" fillId="7" borderId="29" xfId="0" applyFont="1" applyFill="1" applyBorder="1" applyAlignment="1">
      <alignment horizontal="center" vertical="center" wrapText="1"/>
    </xf>
    <xf numFmtId="0" fontId="46" fillId="7" borderId="31" xfId="0" applyFont="1" applyFill="1" applyBorder="1" applyAlignment="1">
      <alignment horizontal="center" vertical="center" wrapText="1"/>
    </xf>
    <xf numFmtId="0" fontId="18" fillId="7" borderId="45" xfId="0" applyFont="1" applyFill="1" applyBorder="1" applyAlignment="1">
      <alignment horizontal="center" vertical="center" wrapText="1"/>
    </xf>
    <xf numFmtId="0" fontId="18" fillId="7" borderId="22" xfId="0" applyFont="1" applyFill="1" applyBorder="1" applyAlignment="1">
      <alignment horizontal="center" vertical="center" wrapText="1"/>
    </xf>
    <xf numFmtId="0" fontId="18" fillId="7" borderId="23" xfId="0" applyFont="1" applyFill="1" applyBorder="1" applyAlignment="1">
      <alignment horizontal="center" vertical="center" wrapText="1"/>
    </xf>
    <xf numFmtId="0" fontId="0" fillId="7" borderId="25" xfId="0" applyFill="1" applyBorder="1" applyAlignment="1">
      <alignment horizontal="left" vertical="center" wrapText="1"/>
    </xf>
    <xf numFmtId="0" fontId="0" fillId="7" borderId="0" xfId="0" applyFill="1" applyAlignment="1">
      <alignment horizontal="left" vertical="center" wrapText="1"/>
    </xf>
    <xf numFmtId="0" fontId="0" fillId="0" borderId="64" xfId="0" applyBorder="1" applyAlignment="1" applyProtection="1">
      <alignment horizontal="left" vertical="center" wrapText="1"/>
      <protection locked="0"/>
    </xf>
    <xf numFmtId="0" fontId="2" fillId="7" borderId="18" xfId="0" applyFont="1" applyFill="1" applyBorder="1" applyAlignment="1">
      <alignment horizontal="center"/>
    </xf>
    <xf numFmtId="0" fontId="2" fillId="7" borderId="11" xfId="0" applyFont="1" applyFill="1" applyBorder="1" applyAlignment="1">
      <alignment horizontal="center"/>
    </xf>
    <xf numFmtId="0" fontId="2" fillId="7" borderId="19" xfId="0" applyFont="1" applyFill="1" applyBorder="1" applyAlignment="1">
      <alignment horizontal="center"/>
    </xf>
    <xf numFmtId="0" fontId="2" fillId="7" borderId="14" xfId="0" applyFont="1" applyFill="1" applyBorder="1" applyAlignment="1">
      <alignment horizontal="center"/>
    </xf>
    <xf numFmtId="0" fontId="31" fillId="7" borderId="0" xfId="0" applyFont="1" applyFill="1" applyAlignment="1">
      <alignment horizontal="left" wrapText="1"/>
    </xf>
    <xf numFmtId="0" fontId="0" fillId="7" borderId="0" xfId="0" applyFill="1"/>
    <xf numFmtId="0" fontId="35" fillId="7" borderId="0" xfId="0" applyFont="1" applyFill="1"/>
    <xf numFmtId="0" fontId="2" fillId="0" borderId="79" xfId="0" applyFont="1" applyBorder="1" applyAlignment="1">
      <alignment horizontal="center"/>
    </xf>
    <xf numFmtId="0" fontId="2" fillId="0" borderId="35" xfId="0" applyFont="1" applyBorder="1" applyAlignment="1">
      <alignment horizontal="center"/>
    </xf>
    <xf numFmtId="166" fontId="2" fillId="13" borderId="79" xfId="2" quotePrefix="1" applyNumberFormat="1" applyFont="1" applyFill="1" applyBorder="1" applyAlignment="1">
      <alignment horizontal="center" vertical="center"/>
    </xf>
    <xf numFmtId="166" fontId="2" fillId="13" borderId="35" xfId="2" applyNumberFormat="1" applyFont="1" applyFill="1" applyBorder="1" applyAlignment="1">
      <alignment horizontal="center" vertical="center"/>
    </xf>
    <xf numFmtId="0" fontId="0" fillId="5" borderId="28" xfId="0" applyFill="1" applyBorder="1" applyAlignment="1">
      <alignment horizontal="center" vertical="center"/>
    </xf>
    <xf numFmtId="0" fontId="0" fillId="5" borderId="29" xfId="0" applyFill="1" applyBorder="1" applyAlignment="1">
      <alignment horizontal="center" vertical="center"/>
    </xf>
    <xf numFmtId="0" fontId="0" fillId="5" borderId="31" xfId="0" applyFill="1" applyBorder="1" applyAlignment="1">
      <alignment horizontal="center" vertical="center"/>
    </xf>
    <xf numFmtId="0" fontId="0" fillId="5" borderId="45" xfId="0" applyFill="1" applyBorder="1" applyAlignment="1">
      <alignment horizontal="center" vertical="center"/>
    </xf>
    <xf numFmtId="0" fontId="0" fillId="5" borderId="22" xfId="0" applyFill="1" applyBorder="1" applyAlignment="1">
      <alignment horizontal="center" vertical="center"/>
    </xf>
    <xf numFmtId="0" fontId="0" fillId="5" borderId="23" xfId="0" applyFill="1" applyBorder="1" applyAlignment="1">
      <alignment horizontal="center" vertical="center"/>
    </xf>
    <xf numFmtId="0" fontId="0" fillId="5" borderId="28"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5" borderId="29"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5" borderId="3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5" borderId="45"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5" borderId="22"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5" borderId="23"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18" fillId="0" borderId="35" xfId="0" applyFont="1" applyBorder="1" applyAlignment="1">
      <alignment horizontal="left" vertical="center" wrapText="1"/>
    </xf>
    <xf numFmtId="0" fontId="2" fillId="7" borderId="7" xfId="0" applyFont="1" applyFill="1" applyBorder="1" applyAlignment="1">
      <alignment horizontal="center"/>
    </xf>
    <xf numFmtId="0" fontId="2" fillId="7" borderId="9" xfId="0" applyFont="1" applyFill="1" applyBorder="1" applyAlignment="1">
      <alignment horizontal="center"/>
    </xf>
    <xf numFmtId="0" fontId="0" fillId="7" borderId="52" xfId="0" quotePrefix="1" applyFill="1" applyBorder="1" applyAlignment="1">
      <alignment horizontal="left"/>
    </xf>
    <xf numFmtId="0" fontId="0" fillId="7" borderId="5" xfId="0" quotePrefix="1" applyFill="1" applyBorder="1" applyAlignment="1">
      <alignment horizontal="left"/>
    </xf>
    <xf numFmtId="0" fontId="0" fillId="7" borderId="47" xfId="0" quotePrefix="1" applyFill="1" applyBorder="1" applyAlignment="1">
      <alignment horizontal="left"/>
    </xf>
    <xf numFmtId="0" fontId="6" fillId="7" borderId="49" xfId="3" quotePrefix="1" applyFill="1" applyBorder="1" applyAlignment="1" applyProtection="1">
      <alignment horizontal="left"/>
    </xf>
    <xf numFmtId="0" fontId="0" fillId="7" borderId="41" xfId="0" quotePrefix="1" applyFill="1" applyBorder="1" applyAlignment="1">
      <alignment horizontal="left"/>
    </xf>
    <xf numFmtId="0" fontId="0" fillId="7" borderId="56" xfId="0" quotePrefix="1" applyFill="1" applyBorder="1" applyAlignment="1">
      <alignment horizontal="left"/>
    </xf>
    <xf numFmtId="0" fontId="0" fillId="7" borderId="25" xfId="0" quotePrefix="1" applyFill="1" applyBorder="1" applyAlignment="1">
      <alignment horizontal="left"/>
    </xf>
    <xf numFmtId="0" fontId="0" fillId="7" borderId="0" xfId="0" quotePrefix="1" applyFill="1" applyAlignment="1">
      <alignment horizontal="left"/>
    </xf>
    <xf numFmtId="0" fontId="0" fillId="7" borderId="26" xfId="0" quotePrefix="1" applyFill="1" applyBorder="1" applyAlignment="1">
      <alignment horizontal="left"/>
    </xf>
    <xf numFmtId="0" fontId="6" fillId="7" borderId="45" xfId="3" quotePrefix="1" applyFill="1" applyBorder="1" applyAlignment="1" applyProtection="1">
      <alignment horizontal="left"/>
    </xf>
    <xf numFmtId="0" fontId="0" fillId="7" borderId="22" xfId="0" quotePrefix="1" applyFill="1" applyBorder="1" applyAlignment="1">
      <alignment horizontal="left"/>
    </xf>
    <xf numFmtId="0" fontId="0" fillId="7" borderId="23" xfId="0" quotePrefix="1" applyFill="1" applyBorder="1" applyAlignment="1">
      <alignment horizontal="left"/>
    </xf>
    <xf numFmtId="0" fontId="6" fillId="7" borderId="25" xfId="3" quotePrefix="1" applyFill="1" applyBorder="1" applyAlignment="1" applyProtection="1">
      <alignment horizontal="left" wrapText="1"/>
    </xf>
    <xf numFmtId="0" fontId="6" fillId="7" borderId="49" xfId="3" quotePrefix="1" applyFill="1" applyBorder="1" applyAlignment="1" applyProtection="1">
      <alignment horizontal="left" wrapText="1"/>
    </xf>
    <xf numFmtId="0" fontId="6" fillId="7" borderId="41" xfId="3" quotePrefix="1" applyFill="1" applyBorder="1" applyAlignment="1" applyProtection="1">
      <alignment horizontal="left" wrapText="1"/>
    </xf>
    <xf numFmtId="0" fontId="6" fillId="7" borderId="56" xfId="3" quotePrefix="1" applyFill="1" applyBorder="1" applyAlignment="1" applyProtection="1">
      <alignment horizontal="left" wrapText="1"/>
    </xf>
    <xf numFmtId="0" fontId="0" fillId="7" borderId="52" xfId="0" quotePrefix="1" applyFill="1" applyBorder="1" applyAlignment="1">
      <alignment horizontal="left" wrapText="1"/>
    </xf>
    <xf numFmtId="0" fontId="0" fillId="7" borderId="5" xfId="0" quotePrefix="1" applyFill="1" applyBorder="1" applyAlignment="1">
      <alignment horizontal="left" wrapText="1"/>
    </xf>
    <xf numFmtId="0" fontId="0" fillId="7" borderId="47" xfId="0" quotePrefix="1" applyFill="1" applyBorder="1" applyAlignment="1">
      <alignment horizontal="left" wrapText="1"/>
    </xf>
    <xf numFmtId="0" fontId="6" fillId="7" borderId="41" xfId="3" quotePrefix="1" applyFill="1" applyBorder="1" applyAlignment="1" applyProtection="1">
      <alignment horizontal="left"/>
    </xf>
    <xf numFmtId="0" fontId="6" fillId="7" borderId="56" xfId="3" quotePrefix="1" applyFill="1" applyBorder="1" applyAlignment="1" applyProtection="1">
      <alignment horizontal="left"/>
    </xf>
    <xf numFmtId="2" fontId="2" fillId="0" borderId="25" xfId="0" applyNumberFormat="1" applyFont="1" applyBorder="1" applyAlignment="1">
      <alignment horizontal="left"/>
    </xf>
    <xf numFmtId="2" fontId="2" fillId="0" borderId="0" xfId="0" applyNumberFormat="1" applyFont="1" applyAlignment="1">
      <alignment horizontal="left"/>
    </xf>
    <xf numFmtId="2" fontId="2" fillId="0" borderId="26" xfId="0" applyNumberFormat="1" applyFont="1" applyBorder="1" applyAlignment="1">
      <alignment horizontal="left"/>
    </xf>
    <xf numFmtId="2" fontId="2" fillId="0" borderId="15" xfId="0" applyNumberFormat="1" applyFont="1" applyBorder="1" applyAlignment="1">
      <alignment horizontal="left" vertical="top"/>
    </xf>
    <xf numFmtId="2" fontId="2" fillId="0" borderId="16" xfId="0" applyNumberFormat="1" applyFont="1" applyBorder="1" applyAlignment="1">
      <alignment horizontal="left" vertical="top"/>
    </xf>
    <xf numFmtId="2" fontId="2" fillId="0" borderId="17" xfId="0" applyNumberFormat="1" applyFont="1" applyBorder="1" applyAlignment="1">
      <alignment horizontal="left" vertical="top"/>
    </xf>
    <xf numFmtId="2" fontId="0" fillId="7" borderId="25" xfId="0" quotePrefix="1" applyNumberFormat="1" applyFill="1" applyBorder="1" applyAlignment="1">
      <alignment horizontal="left" wrapText="1"/>
    </xf>
    <xf numFmtId="2" fontId="0" fillId="7" borderId="0" xfId="0" quotePrefix="1" applyNumberFormat="1" applyFill="1" applyAlignment="1">
      <alignment horizontal="left" wrapText="1"/>
    </xf>
    <xf numFmtId="2" fontId="0" fillId="7" borderId="26" xfId="0" quotePrefix="1" applyNumberFormat="1" applyFill="1" applyBorder="1" applyAlignment="1">
      <alignment horizontal="left" wrapText="1"/>
    </xf>
    <xf numFmtId="2" fontId="6" fillId="7" borderId="49" xfId="3" quotePrefix="1" applyNumberFormat="1" applyFill="1" applyBorder="1" applyAlignment="1" applyProtection="1">
      <alignment horizontal="left" wrapText="1"/>
    </xf>
    <xf numFmtId="2" fontId="6" fillId="7" borderId="41" xfId="3" quotePrefix="1" applyNumberFormat="1" applyFill="1" applyBorder="1" applyAlignment="1" applyProtection="1">
      <alignment horizontal="left" wrapText="1"/>
    </xf>
    <xf numFmtId="2" fontId="6" fillId="7" borderId="56" xfId="3" quotePrefix="1" applyNumberFormat="1" applyFill="1" applyBorder="1" applyAlignment="1" applyProtection="1">
      <alignment horizontal="left" wrapText="1"/>
    </xf>
    <xf numFmtId="0" fontId="6" fillId="7" borderId="0" xfId="3" quotePrefix="1" applyFill="1" applyBorder="1" applyAlignment="1" applyProtection="1">
      <alignment horizontal="left" wrapText="1"/>
    </xf>
    <xf numFmtId="0" fontId="6" fillId="7" borderId="26" xfId="3" quotePrefix="1" applyFill="1" applyBorder="1" applyAlignment="1" applyProtection="1">
      <alignment horizontal="left" wrapText="1"/>
    </xf>
    <xf numFmtId="0" fontId="9" fillId="7" borderId="52" xfId="3" quotePrefix="1" applyFont="1" applyFill="1" applyBorder="1" applyAlignment="1" applyProtection="1">
      <alignment horizontal="left"/>
    </xf>
    <xf numFmtId="0" fontId="9" fillId="7" borderId="5" xfId="3" quotePrefix="1" applyFont="1" applyFill="1" applyBorder="1" applyAlignment="1" applyProtection="1">
      <alignment horizontal="left"/>
    </xf>
    <xf numFmtId="0" fontId="9" fillId="7" borderId="47" xfId="3" quotePrefix="1" applyFont="1" applyFill="1" applyBorder="1" applyAlignment="1" applyProtection="1">
      <alignment horizontal="left"/>
    </xf>
    <xf numFmtId="0" fontId="6" fillId="7" borderId="25" xfId="3" quotePrefix="1" applyFill="1" applyBorder="1" applyAlignment="1" applyProtection="1">
      <alignment horizontal="left" vertical="top" wrapText="1"/>
    </xf>
    <xf numFmtId="0" fontId="6" fillId="7" borderId="0" xfId="3" quotePrefix="1" applyFill="1" applyBorder="1" applyAlignment="1" applyProtection="1">
      <alignment horizontal="left" vertical="top" wrapText="1"/>
    </xf>
    <xf numFmtId="0" fontId="6" fillId="7" borderId="26" xfId="3" quotePrefix="1" applyFill="1" applyBorder="1" applyAlignment="1" applyProtection="1">
      <alignment horizontal="left" vertical="top" wrapText="1"/>
    </xf>
    <xf numFmtId="0" fontId="0" fillId="7" borderId="25" xfId="0" quotePrefix="1" applyFill="1" applyBorder="1" applyAlignment="1">
      <alignment horizontal="left" vertical="top" wrapText="1"/>
    </xf>
    <xf numFmtId="0" fontId="0" fillId="7" borderId="0" xfId="0" quotePrefix="1" applyFill="1" applyAlignment="1">
      <alignment horizontal="left" vertical="top" wrapText="1"/>
    </xf>
    <xf numFmtId="0" fontId="0" fillId="7" borderId="26" xfId="0" quotePrefix="1" applyFill="1" applyBorder="1" applyAlignment="1">
      <alignment horizontal="left" vertical="top" wrapText="1"/>
    </xf>
    <xf numFmtId="0" fontId="2" fillId="7" borderId="76" xfId="0" applyFont="1" applyFill="1" applyBorder="1" applyAlignment="1">
      <alignment horizontal="center"/>
    </xf>
    <xf numFmtId="0" fontId="2" fillId="7" borderId="77" xfId="0" applyFont="1" applyFill="1" applyBorder="1" applyAlignment="1">
      <alignment horizontal="center"/>
    </xf>
    <xf numFmtId="0" fontId="2" fillId="7" borderId="78" xfId="0" applyFont="1" applyFill="1" applyBorder="1" applyAlignment="1">
      <alignment horizontal="center"/>
    </xf>
    <xf numFmtId="0" fontId="2" fillId="18" borderId="28" xfId="0" applyFont="1" applyFill="1" applyBorder="1" applyAlignment="1">
      <alignment horizontal="center" vertical="center" wrapText="1"/>
    </xf>
    <xf numFmtId="0" fontId="2" fillId="18" borderId="29" xfId="0" applyFont="1" applyFill="1" applyBorder="1" applyAlignment="1">
      <alignment horizontal="center" vertical="center" wrapText="1"/>
    </xf>
    <xf numFmtId="0" fontId="2" fillId="18" borderId="31" xfId="0" applyFont="1" applyFill="1" applyBorder="1" applyAlignment="1">
      <alignment horizontal="center" vertical="center" wrapText="1"/>
    </xf>
    <xf numFmtId="0" fontId="0" fillId="18" borderId="7" xfId="0" applyFill="1" applyBorder="1" applyAlignment="1">
      <alignment horizontal="center" vertical="center"/>
    </xf>
    <xf numFmtId="0" fontId="0" fillId="18" borderId="19" xfId="0" applyFill="1" applyBorder="1" applyAlignment="1">
      <alignment horizontal="center" vertical="center"/>
    </xf>
    <xf numFmtId="0" fontId="0" fillId="18" borderId="8" xfId="0" applyFill="1" applyBorder="1" applyAlignment="1">
      <alignment horizontal="center" vertical="center"/>
    </xf>
    <xf numFmtId="0" fontId="0" fillId="18" borderId="20" xfId="0" applyFill="1" applyBorder="1" applyAlignment="1">
      <alignment horizontal="center" vertical="center"/>
    </xf>
    <xf numFmtId="0" fontId="0" fillId="18" borderId="30" xfId="0" applyFill="1" applyBorder="1" applyAlignment="1">
      <alignment horizontal="center" vertical="center"/>
    </xf>
    <xf numFmtId="0" fontId="0" fillId="18" borderId="18" xfId="0" applyFill="1" applyBorder="1" applyAlignment="1">
      <alignment horizontal="center" vertical="center"/>
    </xf>
    <xf numFmtId="0" fontId="0" fillId="18" borderId="6" xfId="0" applyFill="1" applyBorder="1" applyAlignment="1">
      <alignment horizontal="center" vertical="center"/>
    </xf>
    <xf numFmtId="0" fontId="0" fillId="18" borderId="1" xfId="0" applyFill="1" applyBorder="1" applyAlignment="1">
      <alignment horizontal="center" vertical="center"/>
    </xf>
    <xf numFmtId="0" fontId="0" fillId="18" borderId="15" xfId="0" applyFill="1" applyBorder="1" applyAlignment="1">
      <alignment horizontal="center"/>
    </xf>
    <xf numFmtId="0" fontId="0" fillId="18" borderId="16" xfId="0" applyFill="1" applyBorder="1" applyAlignment="1">
      <alignment horizontal="center"/>
    </xf>
    <xf numFmtId="0" fontId="0" fillId="18" borderId="17" xfId="0" applyFill="1" applyBorder="1" applyAlignment="1">
      <alignment horizontal="center"/>
    </xf>
    <xf numFmtId="165" fontId="1" fillId="16" borderId="45" xfId="2" applyNumberFormat="1" applyFill="1" applyBorder="1" applyAlignment="1" applyProtection="1">
      <alignment horizontal="center" vertical="center"/>
      <protection locked="0"/>
    </xf>
    <xf numFmtId="165" fontId="1" fillId="16" borderId="22" xfId="2" applyNumberFormat="1" applyFill="1" applyBorder="1" applyAlignment="1" applyProtection="1">
      <alignment horizontal="center" vertical="center"/>
      <protection locked="0"/>
    </xf>
    <xf numFmtId="165" fontId="1" fillId="16" borderId="23" xfId="2" applyNumberFormat="1" applyFill="1" applyBorder="1" applyAlignment="1" applyProtection="1">
      <alignment horizontal="center" vertical="center"/>
      <protection locked="0"/>
    </xf>
    <xf numFmtId="0" fontId="2" fillId="18" borderId="33" xfId="0" applyFont="1" applyFill="1" applyBorder="1" applyAlignment="1">
      <alignment horizontal="center" vertical="center" wrapText="1"/>
    </xf>
    <xf numFmtId="0" fontId="2" fillId="18" borderId="34" xfId="0" applyFont="1" applyFill="1" applyBorder="1" applyAlignment="1">
      <alignment horizontal="center" vertical="center" wrapText="1"/>
    </xf>
    <xf numFmtId="0" fontId="2" fillId="18" borderId="35" xfId="0" applyFont="1" applyFill="1" applyBorder="1" applyAlignment="1">
      <alignment horizontal="center" vertical="center" wrapText="1"/>
    </xf>
    <xf numFmtId="0" fontId="0" fillId="0" borderId="87" xfId="0" quotePrefix="1" applyBorder="1" applyAlignment="1">
      <alignment horizontal="center" vertical="center" wrapText="1"/>
    </xf>
    <xf numFmtId="0" fontId="0" fillId="0" borderId="89" xfId="0" applyBorder="1" applyAlignment="1">
      <alignment horizontal="center" vertical="center" wrapText="1"/>
    </xf>
  </cellXfs>
  <cellStyles count="4">
    <cellStyle name="Auto-Calculated-Cells" xfId="2" xr:uid="{4E8529B9-507C-4B39-B503-553D51545A9E}"/>
    <cellStyle name="Lien hypertexte" xfId="3" builtinId="8"/>
    <cellStyle name="Normal" xfId="0" builtinId="0"/>
    <cellStyle name="Pourcentage" xfId="1" builtinId="5"/>
  </cellStyles>
  <dxfs count="404">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theme="2" tint="-0.24994659260841701"/>
        </patternFill>
      </fill>
    </dxf>
    <dxf>
      <fill>
        <patternFill>
          <bgColor theme="2" tint="-0.24994659260841701"/>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00B05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theme="2" tint="-0.24994659260841701"/>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patternType="solid">
          <bgColor rgb="FFFFFF99"/>
        </patternFill>
      </fill>
    </dxf>
    <dxf>
      <fill>
        <patternFill patternType="none">
          <bgColor auto="1"/>
        </patternFill>
      </fill>
    </dxf>
    <dxf>
      <fill>
        <patternFill patternType="none">
          <bgColor auto="1"/>
        </patternFill>
      </fill>
    </dxf>
    <dxf>
      <fill>
        <patternFill patternType="none">
          <bgColor auto="1"/>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theme="0" tint="-0.14996795556505021"/>
        </patternFill>
      </fill>
    </dxf>
    <dxf>
      <fill>
        <patternFill patternType="none">
          <bgColor auto="1"/>
        </patternFill>
      </fill>
    </dxf>
    <dxf>
      <fill>
        <patternFill>
          <bgColor theme="0"/>
        </patternFill>
      </fill>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rgb="FFFFFF99"/>
        </patternFill>
      </fill>
    </dxf>
    <dxf>
      <fill>
        <patternFill patternType="solid">
          <bgColor rgb="FFFFFF99"/>
        </patternFill>
      </fill>
    </dxf>
    <dxf>
      <fill>
        <patternFill patternType="solid">
          <bgColor rgb="FFFFFF99"/>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fill>
        <patternFill>
          <bgColor rgb="FF00B050"/>
        </patternFill>
      </fill>
    </dxf>
    <dxf>
      <fill>
        <patternFill>
          <bgColor rgb="FFFF0000"/>
        </patternFill>
      </fill>
    </dxf>
    <dxf>
      <fill>
        <patternFill>
          <bgColor rgb="FFFF0000"/>
        </patternFill>
      </fill>
    </dxf>
    <dxf>
      <numFmt numFmtId="164" formatCode=";;;"/>
      <fill>
        <patternFill>
          <bgColor theme="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theme="0" tint="-0.14996795556505021"/>
        </patternFill>
      </fill>
    </dxf>
    <dxf>
      <fill>
        <patternFill patternType="none">
          <bgColor auto="1"/>
        </patternFill>
      </fill>
    </dxf>
    <dxf>
      <numFmt numFmtId="0" formatCode="General"/>
      <fill>
        <patternFill>
          <bgColor theme="0" tint="-0.14996795556505021"/>
        </patternFill>
      </fill>
    </dxf>
    <dxf>
      <fill>
        <patternFill>
          <bgColor theme="8" tint="0.79998168889431442"/>
        </patternFill>
      </fill>
    </dxf>
    <dxf>
      <fill>
        <patternFill>
          <bgColor theme="0" tint="-0.14996795556505021"/>
        </patternFill>
      </fill>
    </dxf>
    <dxf>
      <fill>
        <patternFill patternType="none">
          <bgColor auto="1"/>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patternType="none">
          <bgColor auto="1"/>
        </patternFill>
      </fill>
    </dxf>
    <dxf>
      <numFmt numFmtId="0" formatCode="General"/>
      <fill>
        <patternFill>
          <bgColor theme="2" tint="-9.9948118533890809E-2"/>
        </patternFill>
      </fill>
    </dxf>
    <dxf>
      <fill>
        <patternFill patternType="none">
          <bgColor auto="1"/>
        </patternFill>
      </fill>
    </dxf>
    <dxf>
      <fill>
        <patternFill>
          <bgColor theme="0" tint="-0.14996795556505021"/>
        </patternFill>
      </fill>
    </dxf>
    <dxf>
      <numFmt numFmtId="0" formatCode="General"/>
      <fill>
        <patternFill>
          <bgColor theme="0" tint="-0.14996795556505021"/>
        </patternFill>
      </fill>
    </dxf>
    <dxf>
      <fill>
        <patternFill>
          <bgColor rgb="FFFFFF99"/>
        </patternFill>
      </fill>
    </dxf>
    <dxf>
      <fill>
        <patternFill patternType="none">
          <bgColor auto="1"/>
        </patternFill>
      </fill>
    </dxf>
    <dxf>
      <numFmt numFmtId="0" formatCode="General"/>
      <fill>
        <patternFill>
          <bgColor theme="2" tint="-9.9948118533890809E-2"/>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
      <fill>
        <patternFill>
          <bgColor rgb="FF00B050"/>
        </patternFill>
      </fill>
    </dxf>
    <dxf>
      <fill>
        <patternFill patternType="none">
          <bgColor auto="1"/>
        </patternFill>
      </fill>
    </dxf>
    <dxf>
      <fill>
        <patternFill patternType="none">
          <bgColor auto="1"/>
        </patternFill>
      </fill>
    </dxf>
    <dxf>
      <fill>
        <patternFill>
          <bgColor rgb="FFFF0000"/>
        </patternFill>
      </fill>
    </dxf>
    <dxf>
      <fill>
        <patternFill>
          <bgColor rgb="FF00B050"/>
        </patternFill>
      </fill>
    </dxf>
    <dxf>
      <fill>
        <patternFill>
          <bgColor rgb="FF00B050"/>
        </patternFill>
      </fill>
    </dxf>
    <dxf>
      <fill>
        <patternFill>
          <bgColor rgb="FFFF0000"/>
        </patternFill>
      </fill>
    </dxf>
    <dxf>
      <numFmt numFmtId="0" formatCode="General"/>
      <fill>
        <patternFill>
          <bgColor theme="0" tint="-0.14996795556505021"/>
        </patternFill>
      </fill>
    </dxf>
    <dxf>
      <numFmt numFmtId="0" formatCode="General"/>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ont>
        <b/>
        <i val="0"/>
      </font>
      <fill>
        <patternFill>
          <bgColor rgb="FFFF0000"/>
        </patternFill>
      </fill>
    </dxf>
    <dxf>
      <font>
        <b/>
        <i val="0"/>
      </font>
      <fill>
        <patternFill>
          <bgColor rgb="FFFF0000"/>
        </patternFill>
      </fill>
    </dxf>
    <dxf>
      <fill>
        <patternFill>
          <bgColor theme="0" tint="-0.14996795556505021"/>
        </patternFill>
      </fill>
    </dxf>
    <dxf>
      <fill>
        <patternFill patternType="none">
          <bgColor auto="1"/>
        </patternFill>
      </fill>
    </dxf>
    <dxf>
      <numFmt numFmtId="0" formatCode="General"/>
      <fill>
        <patternFill>
          <bgColor theme="0" tint="-0.14996795556505021"/>
        </patternFill>
      </fill>
    </dxf>
    <dxf>
      <fill>
        <patternFill>
          <bgColor rgb="FFFFFF9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numFmt numFmtId="0" formatCode="General"/>
      <fill>
        <patternFill>
          <bgColor theme="0"/>
        </patternFill>
      </fill>
    </dxf>
    <dxf>
      <fill>
        <patternFill>
          <bgColor rgb="FFFFFF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bgColor rgb="FF00B050"/>
        </patternFill>
      </fill>
    </dxf>
    <dxf>
      <fill>
        <patternFill patternType="none">
          <bgColor auto="1"/>
        </patternFill>
      </fill>
    </dxf>
    <dxf>
      <fill>
        <patternFill>
          <bgColor theme="0"/>
        </patternFill>
      </fill>
    </dxf>
    <dxf>
      <font>
        <b/>
        <i val="0"/>
      </font>
    </dxf>
    <dxf>
      <font>
        <b/>
        <i val="0"/>
      </font>
    </dxf>
    <dxf>
      <fill>
        <patternFill>
          <bgColor rgb="FFFF0000"/>
        </patternFill>
      </fill>
    </dxf>
    <dxf>
      <fill>
        <patternFill patternType="none">
          <bgColor auto="1"/>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patternType="none">
          <bgColor auto="1"/>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FFFF99"/>
      <color rgb="FFFFC000"/>
      <color rgb="FFB5E6A2"/>
      <color rgb="FFE971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https://xbrl.efrag.org/convert/" TargetMode="External"/><Relationship Id="rId3" Type="http://schemas.openxmlformats.org/officeDocument/2006/relationships/image" Target="../media/image3.png"/><Relationship Id="rId7" Type="http://schemas.openxmlformats.org/officeDocument/2006/relationships/hyperlink" Target="https://github.com/EFRAG-EU/Digital-Template-to-XBRL-Converter/issues"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https://finance.ec.europa.eu/publications/commission-presents-voluntary-sustainability-reporting-standard-ease-burden-smes_en" TargetMode="External"/><Relationship Id="rId5" Type="http://schemas.openxmlformats.org/officeDocument/2006/relationships/hyperlink" Target="#Licence!A1"/><Relationship Id="rId4" Type="http://schemas.openxmlformats.org/officeDocument/2006/relationships/hyperlink" Target="https://www.efrag.org/sites/default/files/sites/webpublishing/SiteAssets/VSME%20Standard.pdf"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Environmental Disclosures'!A1"/><Relationship Id="rId7" Type="http://schemas.openxmlformats.org/officeDocument/2006/relationships/hyperlink" Target="#'Table of Contents &amp; Validation'!A1"/><Relationship Id="rId2" Type="http://schemas.openxmlformats.org/officeDocument/2006/relationships/hyperlink" Target="https://osmfoundation.org/wiki/Privacy_Policy#Personal_data_we_receive_automatically" TargetMode="External"/><Relationship Id="rId1" Type="http://schemas.openxmlformats.org/officeDocument/2006/relationships/hyperlink" Target="https://operations.osmfoundation.org/policies/nominatim/" TargetMode="External"/><Relationship Id="rId6" Type="http://schemas.openxmlformats.org/officeDocument/2006/relationships/hyperlink" Target="#Introduction!A1"/><Relationship Id="rId5" Type="http://schemas.openxmlformats.org/officeDocument/2006/relationships/hyperlink" Target="#'Governance Disclosures'!A1"/><Relationship Id="rId4" Type="http://schemas.openxmlformats.org/officeDocument/2006/relationships/hyperlink" Target="#'Social Disclosures'!A1"/></Relationships>
</file>

<file path=xl/drawings/_rels/drawing3.xml.rels><?xml version="1.0" encoding="UTF-8" standalone="yes"?>
<Relationships xmlns="http://schemas.openxmlformats.org/package/2006/relationships"><Relationship Id="rId3" Type="http://schemas.openxmlformats.org/officeDocument/2006/relationships/hyperlink" Target="#'Governance Disclosures'!A1"/><Relationship Id="rId2" Type="http://schemas.openxmlformats.org/officeDocument/2006/relationships/hyperlink" Target="#'Social Disclosures'!A1"/><Relationship Id="rId1" Type="http://schemas.openxmlformats.org/officeDocument/2006/relationships/hyperlink" Target="https://www.efrag.org/en/smes-and-sustainability-reporting" TargetMode="External"/><Relationship Id="rId6" Type="http://schemas.openxmlformats.org/officeDocument/2006/relationships/hyperlink" Target="#'General Information'!A1"/><Relationship Id="rId5" Type="http://schemas.openxmlformats.org/officeDocument/2006/relationships/hyperlink" Target="#'Table of Contents &amp; Validation'!A1"/><Relationship Id="rId4" Type="http://schemas.openxmlformats.org/officeDocument/2006/relationships/hyperlink" Target="#Introduction!A1"/></Relationships>
</file>

<file path=xl/drawings/_rels/drawing4.xml.rels><?xml version="1.0" encoding="UTF-8" standalone="yes"?>
<Relationships xmlns="http://schemas.openxmlformats.org/package/2006/relationships"><Relationship Id="rId3" Type="http://schemas.openxmlformats.org/officeDocument/2006/relationships/hyperlink" Target="#'Table of Contents &amp; Validation'!A1"/><Relationship Id="rId2" Type="http://schemas.openxmlformats.org/officeDocument/2006/relationships/hyperlink" Target="#Introduction!A1"/><Relationship Id="rId1" Type="http://schemas.openxmlformats.org/officeDocument/2006/relationships/hyperlink" Target="#'Governance Disclosures'!A1"/><Relationship Id="rId5" Type="http://schemas.openxmlformats.org/officeDocument/2006/relationships/hyperlink" Target="#'Environmental Disclosures'!A1"/><Relationship Id="rId4" Type="http://schemas.openxmlformats.org/officeDocument/2006/relationships/hyperlink" Target="#'General Information'!A1"/></Relationships>
</file>

<file path=xl/drawings/_rels/drawing5.xml.rels><?xml version="1.0" encoding="UTF-8" standalone="yes"?>
<Relationships xmlns="http://schemas.openxmlformats.org/package/2006/relationships"><Relationship Id="rId3" Type="http://schemas.openxmlformats.org/officeDocument/2006/relationships/hyperlink" Target="#'General Information'!A1"/><Relationship Id="rId2" Type="http://schemas.openxmlformats.org/officeDocument/2006/relationships/hyperlink" Target="#'Table of Contents &amp; Validation'!A1"/><Relationship Id="rId1" Type="http://schemas.openxmlformats.org/officeDocument/2006/relationships/hyperlink" Target="#Introduction!A1"/><Relationship Id="rId5" Type="http://schemas.openxmlformats.org/officeDocument/2006/relationships/hyperlink" Target="#'Social Disclosures'!A1"/><Relationship Id="rId4" Type="http://schemas.openxmlformats.org/officeDocument/2006/relationships/hyperlink" Target="#'Environmental Disclosures'!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101601</xdr:rowOff>
    </xdr:from>
    <xdr:to>
      <xdr:col>1</xdr:col>
      <xdr:colOff>4744235</xdr:colOff>
      <xdr:row>8</xdr:row>
      <xdr:rowOff>130175</xdr:rowOff>
    </xdr:to>
    <xdr:pic>
      <xdr:nvPicPr>
        <xdr:cNvPr id="3" name="Picture 1">
          <a:extLst>
            <a:ext uri="{FF2B5EF4-FFF2-40B4-BE49-F238E27FC236}">
              <a16:creationId xmlns:a16="http://schemas.microsoft.com/office/drawing/2014/main" id="{EE744A18-9278-F28C-CE93-223066AEF5D9}"/>
            </a:ext>
          </a:extLst>
        </xdr:cNvPr>
        <xdr:cNvPicPr>
          <a:picLocks noChangeAspect="1"/>
        </xdr:cNvPicPr>
      </xdr:nvPicPr>
      <xdr:blipFill>
        <a:blip xmlns:r="http://schemas.openxmlformats.org/officeDocument/2006/relationships" r:embed="rId1"/>
        <a:stretch>
          <a:fillRect/>
        </a:stretch>
      </xdr:blipFill>
      <xdr:spPr>
        <a:xfrm>
          <a:off x="406400" y="457201"/>
          <a:ext cx="4716295" cy="904874"/>
        </a:xfrm>
        <a:prstGeom prst="rect">
          <a:avLst/>
        </a:prstGeom>
      </xdr:spPr>
    </xdr:pic>
    <xdr:clientData/>
  </xdr:twoCellAnchor>
  <xdr:twoCellAnchor editAs="oneCell">
    <xdr:from>
      <xdr:col>1</xdr:col>
      <xdr:colOff>6551</xdr:colOff>
      <xdr:row>40</xdr:row>
      <xdr:rowOff>158162</xdr:rowOff>
    </xdr:from>
    <xdr:to>
      <xdr:col>1</xdr:col>
      <xdr:colOff>627581</xdr:colOff>
      <xdr:row>42</xdr:row>
      <xdr:rowOff>189812</xdr:rowOff>
    </xdr:to>
    <xdr:pic>
      <xdr:nvPicPr>
        <xdr:cNvPr id="13" name="Picture 1" descr="A flag with stars in the center&#10;&#10;Description automatically generated">
          <a:extLst>
            <a:ext uri="{FF2B5EF4-FFF2-40B4-BE49-F238E27FC236}">
              <a16:creationId xmlns:a16="http://schemas.microsoft.com/office/drawing/2014/main" id="{B2281DFB-0536-4402-89EF-0BEDD49B199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8372" y="19575555"/>
          <a:ext cx="628650" cy="391696"/>
        </a:xfrm>
        <a:prstGeom prst="rect">
          <a:avLst/>
        </a:prstGeom>
      </xdr:spPr>
    </xdr:pic>
    <xdr:clientData/>
  </xdr:twoCellAnchor>
  <xdr:twoCellAnchor editAs="oneCell">
    <xdr:from>
      <xdr:col>1</xdr:col>
      <xdr:colOff>1809750</xdr:colOff>
      <xdr:row>36</xdr:row>
      <xdr:rowOff>47625</xdr:rowOff>
    </xdr:from>
    <xdr:to>
      <xdr:col>1</xdr:col>
      <xdr:colOff>2421976</xdr:colOff>
      <xdr:row>36</xdr:row>
      <xdr:rowOff>515049</xdr:rowOff>
    </xdr:to>
    <xdr:pic>
      <xdr:nvPicPr>
        <xdr:cNvPr id="7" name="Picture 1">
          <a:extLst>
            <a:ext uri="{FF2B5EF4-FFF2-40B4-BE49-F238E27FC236}">
              <a16:creationId xmlns:a16="http://schemas.microsoft.com/office/drawing/2014/main" id="{FAC21AA4-78C9-7CCC-3AF3-0C14CAFC6FC9}"/>
            </a:ext>
          </a:extLst>
        </xdr:cNvPr>
        <xdr:cNvPicPr>
          <a:picLocks noChangeAspect="1"/>
        </xdr:cNvPicPr>
      </xdr:nvPicPr>
      <xdr:blipFill>
        <a:blip xmlns:r="http://schemas.openxmlformats.org/officeDocument/2006/relationships" r:embed="rId3"/>
        <a:stretch>
          <a:fillRect/>
        </a:stretch>
      </xdr:blipFill>
      <xdr:spPr>
        <a:xfrm>
          <a:off x="2206625" y="11223625"/>
          <a:ext cx="619211" cy="457264"/>
        </a:xfrm>
        <a:prstGeom prst="rect">
          <a:avLst/>
        </a:prstGeom>
      </xdr:spPr>
    </xdr:pic>
    <xdr:clientData/>
  </xdr:twoCellAnchor>
  <xdr:twoCellAnchor>
    <xdr:from>
      <xdr:col>4</xdr:col>
      <xdr:colOff>1619250</xdr:colOff>
      <xdr:row>13</xdr:row>
      <xdr:rowOff>111125</xdr:rowOff>
    </xdr:from>
    <xdr:to>
      <xdr:col>5</xdr:col>
      <xdr:colOff>952500</xdr:colOff>
      <xdr:row>13</xdr:row>
      <xdr:rowOff>396875</xdr:rowOff>
    </xdr:to>
    <xdr:sp macro="" textlink="">
      <xdr:nvSpPr>
        <xdr:cNvPr id="4" name="Rectangle 3">
          <a:hlinkClick xmlns:r="http://schemas.openxmlformats.org/officeDocument/2006/relationships" r:id="rId4"/>
          <a:extLst>
            <a:ext uri="{FF2B5EF4-FFF2-40B4-BE49-F238E27FC236}">
              <a16:creationId xmlns:a16="http://schemas.microsoft.com/office/drawing/2014/main" id="{D363C8B0-1A23-844C-E436-469E998EC547}"/>
            </a:ext>
          </a:extLst>
        </xdr:cNvPr>
        <xdr:cNvSpPr/>
      </xdr:nvSpPr>
      <xdr:spPr>
        <a:xfrm>
          <a:off x="14462125" y="2476500"/>
          <a:ext cx="1635125" cy="2857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5</xdr:col>
      <xdr:colOff>2841625</xdr:colOff>
      <xdr:row>13</xdr:row>
      <xdr:rowOff>3984625</xdr:rowOff>
    </xdr:from>
    <xdr:to>
      <xdr:col>6</xdr:col>
      <xdr:colOff>1238250</xdr:colOff>
      <xdr:row>13</xdr:row>
      <xdr:rowOff>4270375</xdr:rowOff>
    </xdr:to>
    <xdr:sp macro="" textlink="">
      <xdr:nvSpPr>
        <xdr:cNvPr id="5" name="Rectangle 4">
          <a:hlinkClick xmlns:r="http://schemas.openxmlformats.org/officeDocument/2006/relationships" r:id="rId5"/>
          <a:extLst>
            <a:ext uri="{FF2B5EF4-FFF2-40B4-BE49-F238E27FC236}">
              <a16:creationId xmlns:a16="http://schemas.microsoft.com/office/drawing/2014/main" id="{5A054C28-8550-3AA9-5D05-8D1B733171A0}"/>
            </a:ext>
          </a:extLst>
        </xdr:cNvPr>
        <xdr:cNvSpPr/>
      </xdr:nvSpPr>
      <xdr:spPr>
        <a:xfrm>
          <a:off x="17986375" y="6350000"/>
          <a:ext cx="1301750" cy="2857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3</xdr:col>
      <xdr:colOff>3024079</xdr:colOff>
      <xdr:row>13</xdr:row>
      <xdr:rowOff>128861</xdr:rowOff>
    </xdr:from>
    <xdr:to>
      <xdr:col>4</xdr:col>
      <xdr:colOff>133685</xdr:colOff>
      <xdr:row>13</xdr:row>
      <xdr:rowOff>384342</xdr:rowOff>
    </xdr:to>
    <xdr:sp macro="" textlink="">
      <xdr:nvSpPr>
        <xdr:cNvPr id="2" name="Rectangle 1">
          <a:hlinkClick xmlns:r="http://schemas.openxmlformats.org/officeDocument/2006/relationships" r:id="rId6"/>
          <a:extLst>
            <a:ext uri="{FF2B5EF4-FFF2-40B4-BE49-F238E27FC236}">
              <a16:creationId xmlns:a16="http://schemas.microsoft.com/office/drawing/2014/main" id="{16B5C088-64AA-B68A-75C3-AC7A29FD2933}"/>
            </a:ext>
          </a:extLst>
        </xdr:cNvPr>
        <xdr:cNvSpPr/>
      </xdr:nvSpPr>
      <xdr:spPr>
        <a:xfrm>
          <a:off x="11270724" y="3128400"/>
          <a:ext cx="1955658" cy="2554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1</xdr:col>
      <xdr:colOff>3167743</xdr:colOff>
      <xdr:row>13</xdr:row>
      <xdr:rowOff>3853543</xdr:rowOff>
    </xdr:from>
    <xdr:to>
      <xdr:col>2</xdr:col>
      <xdr:colOff>359229</xdr:colOff>
      <xdr:row>14</xdr:row>
      <xdr:rowOff>0</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5DA8BDE8-DFBE-01BD-5268-5269918EC771}"/>
            </a:ext>
          </a:extLst>
        </xdr:cNvPr>
        <xdr:cNvSpPr/>
      </xdr:nvSpPr>
      <xdr:spPr>
        <a:xfrm>
          <a:off x="3581400" y="6324600"/>
          <a:ext cx="1034143" cy="2721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3</xdr:col>
      <xdr:colOff>3250196</xdr:colOff>
      <xdr:row>13</xdr:row>
      <xdr:rowOff>4135855</xdr:rowOff>
    </xdr:from>
    <xdr:to>
      <xdr:col>4</xdr:col>
      <xdr:colOff>359802</xdr:colOff>
      <xdr:row>13</xdr:row>
      <xdr:rowOff>4391336</xdr:rowOff>
    </xdr:to>
    <xdr:sp macro="" textlink="">
      <xdr:nvSpPr>
        <xdr:cNvPr id="6" name="Rectangle 5">
          <a:hlinkClick xmlns:r="http://schemas.openxmlformats.org/officeDocument/2006/relationships" r:id="rId7"/>
          <a:extLst>
            <a:ext uri="{FF2B5EF4-FFF2-40B4-BE49-F238E27FC236}">
              <a16:creationId xmlns:a16="http://schemas.microsoft.com/office/drawing/2014/main" id="{92047DF3-52C0-4431-AF32-361AC294F73A}"/>
            </a:ext>
          </a:extLst>
        </xdr:cNvPr>
        <xdr:cNvSpPr/>
      </xdr:nvSpPr>
      <xdr:spPr>
        <a:xfrm>
          <a:off x="11496841" y="7135394"/>
          <a:ext cx="1955658" cy="2554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2</xdr:col>
      <xdr:colOff>1422399</xdr:colOff>
      <xdr:row>13</xdr:row>
      <xdr:rowOff>1455821</xdr:rowOff>
    </xdr:from>
    <xdr:to>
      <xdr:col>3</xdr:col>
      <xdr:colOff>342566</xdr:colOff>
      <xdr:row>13</xdr:row>
      <xdr:rowOff>1746250</xdr:rowOff>
    </xdr:to>
    <xdr:sp macro="" textlink="">
      <xdr:nvSpPr>
        <xdr:cNvPr id="9" name="Rectangle 8">
          <a:hlinkClick xmlns:r="http://schemas.openxmlformats.org/officeDocument/2006/relationships" r:id="rId8"/>
          <a:extLst>
            <a:ext uri="{FF2B5EF4-FFF2-40B4-BE49-F238E27FC236}">
              <a16:creationId xmlns:a16="http://schemas.microsoft.com/office/drawing/2014/main" id="{FD3D0CA1-935F-4D15-B066-EA5F030DB1D2}"/>
            </a:ext>
          </a:extLst>
        </xdr:cNvPr>
        <xdr:cNvSpPr/>
      </xdr:nvSpPr>
      <xdr:spPr>
        <a:xfrm>
          <a:off x="5750425" y="4455360"/>
          <a:ext cx="2838786" cy="29042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19050</xdr:colOff>
      <xdr:row>402</xdr:row>
      <xdr:rowOff>1025237</xdr:rowOff>
    </xdr:from>
    <xdr:to>
      <xdr:col>7</xdr:col>
      <xdr:colOff>2628900</xdr:colOff>
      <xdr:row>402</xdr:row>
      <xdr:rowOff>1215737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A8989A-7C57-462C-8649-46BDC612C39A}"/>
            </a:ext>
          </a:extLst>
        </xdr:cNvPr>
        <xdr:cNvSpPr/>
      </xdr:nvSpPr>
      <xdr:spPr>
        <a:xfrm>
          <a:off x="11336482" y="15806305"/>
          <a:ext cx="2609850"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7</xdr:col>
      <xdr:colOff>58362</xdr:colOff>
      <xdr:row>402</xdr:row>
      <xdr:rowOff>989215</xdr:rowOff>
    </xdr:from>
    <xdr:to>
      <xdr:col>7</xdr:col>
      <xdr:colOff>2724150</xdr:colOff>
      <xdr:row>403</xdr:row>
      <xdr:rowOff>333375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381497CC-CEB7-47E2-AF4C-81EAAA116533}"/>
            </a:ext>
          </a:extLst>
        </xdr:cNvPr>
        <xdr:cNvSpPr/>
      </xdr:nvSpPr>
      <xdr:spPr>
        <a:xfrm>
          <a:off x="14450637" y="12514465"/>
          <a:ext cx="2665788" cy="33476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7</xdr:col>
      <xdr:colOff>3460750</xdr:colOff>
      <xdr:row>533</xdr:row>
      <xdr:rowOff>12699</xdr:rowOff>
    </xdr:from>
    <xdr:to>
      <xdr:col>7</xdr:col>
      <xdr:colOff>6200323</xdr:colOff>
      <xdr:row>540</xdr:row>
      <xdr:rowOff>139245</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391A546A-0CCE-7CB4-8907-583657050E25}"/>
            </a:ext>
          </a:extLst>
        </xdr:cNvPr>
        <xdr:cNvSpPr/>
      </xdr:nvSpPr>
      <xdr:spPr>
        <a:xfrm>
          <a:off x="17100550" y="62534799"/>
          <a:ext cx="2739573" cy="1393371"/>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Environmental Disclosures</a:t>
          </a:r>
        </a:p>
      </xdr:txBody>
    </xdr:sp>
    <xdr:clientData/>
  </xdr:twoCellAnchor>
  <xdr:twoCellAnchor>
    <xdr:from>
      <xdr:col>7</xdr:col>
      <xdr:colOff>3452585</xdr:colOff>
      <xdr:row>542</xdr:row>
      <xdr:rowOff>35831</xdr:rowOff>
    </xdr:from>
    <xdr:to>
      <xdr:col>7</xdr:col>
      <xdr:colOff>6192158</xdr:colOff>
      <xdr:row>549</xdr:row>
      <xdr:rowOff>162378</xdr:rowOff>
    </xdr:to>
    <xdr:sp macro="" textlink="">
      <xdr:nvSpPr>
        <xdr:cNvPr id="5" name="Arrow: Right 4">
          <a:hlinkClick xmlns:r="http://schemas.openxmlformats.org/officeDocument/2006/relationships" r:id="rId4"/>
          <a:extLst>
            <a:ext uri="{FF2B5EF4-FFF2-40B4-BE49-F238E27FC236}">
              <a16:creationId xmlns:a16="http://schemas.microsoft.com/office/drawing/2014/main" id="{034DCD15-5CD6-4EE4-BE72-3F1FBACC1057}"/>
            </a:ext>
          </a:extLst>
        </xdr:cNvPr>
        <xdr:cNvSpPr/>
      </xdr:nvSpPr>
      <xdr:spPr>
        <a:xfrm>
          <a:off x="17092385" y="64186706"/>
          <a:ext cx="2739573" cy="1393372"/>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Social Disclosures</a:t>
          </a:r>
          <a:endParaRPr lang="en-BE" sz="1800" b="1">
            <a:solidFill>
              <a:schemeClr val="tx1"/>
            </a:solidFill>
            <a:effectLst/>
          </a:endParaRPr>
        </a:p>
        <a:p>
          <a:pPr algn="ctr"/>
          <a:endParaRPr lang="en-BE" sz="1800" b="1">
            <a:solidFill>
              <a:schemeClr val="tx1"/>
            </a:solidFill>
          </a:endParaRPr>
        </a:p>
      </xdr:txBody>
    </xdr:sp>
    <xdr:clientData/>
  </xdr:twoCellAnchor>
  <xdr:twoCellAnchor>
    <xdr:from>
      <xdr:col>7</xdr:col>
      <xdr:colOff>3474357</xdr:colOff>
      <xdr:row>550</xdr:row>
      <xdr:rowOff>178707</xdr:rowOff>
    </xdr:from>
    <xdr:to>
      <xdr:col>7</xdr:col>
      <xdr:colOff>6213930</xdr:colOff>
      <xdr:row>558</xdr:row>
      <xdr:rowOff>128361</xdr:rowOff>
    </xdr:to>
    <xdr:sp macro="" textlink="">
      <xdr:nvSpPr>
        <xdr:cNvPr id="6" name="Arrow: Right 5">
          <a:hlinkClick xmlns:r="http://schemas.openxmlformats.org/officeDocument/2006/relationships" r:id="rId5"/>
          <a:extLst>
            <a:ext uri="{FF2B5EF4-FFF2-40B4-BE49-F238E27FC236}">
              <a16:creationId xmlns:a16="http://schemas.microsoft.com/office/drawing/2014/main" id="{2305ED6B-777E-4789-82E7-887232BD41A1}"/>
            </a:ext>
          </a:extLst>
        </xdr:cNvPr>
        <xdr:cNvSpPr/>
      </xdr:nvSpPr>
      <xdr:spPr>
        <a:xfrm>
          <a:off x="17114157" y="65777382"/>
          <a:ext cx="2739573" cy="1397454"/>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Governance Disclosures</a:t>
          </a:r>
          <a:endParaRPr lang="en-BE" sz="1800" b="1">
            <a:solidFill>
              <a:schemeClr val="tx1"/>
            </a:solidFill>
            <a:effectLst/>
          </a:endParaRPr>
        </a:p>
      </xdr:txBody>
    </xdr:sp>
    <xdr:clientData/>
  </xdr:twoCellAnchor>
  <xdr:twoCellAnchor>
    <xdr:from>
      <xdr:col>3</xdr:col>
      <xdr:colOff>2032001</xdr:colOff>
      <xdr:row>534</xdr:row>
      <xdr:rowOff>154214</xdr:rowOff>
    </xdr:from>
    <xdr:to>
      <xdr:col>4</xdr:col>
      <xdr:colOff>1841500</xdr:colOff>
      <xdr:row>538</xdr:row>
      <xdr:rowOff>110672</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3834BDA7-E7E1-2618-0D54-1DCE21F3D5EA}"/>
            </a:ext>
          </a:extLst>
        </xdr:cNvPr>
        <xdr:cNvSpPr/>
      </xdr:nvSpPr>
      <xdr:spPr>
        <a:xfrm>
          <a:off x="7340601" y="62790614"/>
          <a:ext cx="2755899" cy="667658"/>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3</xdr:col>
      <xdr:colOff>2053772</xdr:colOff>
      <xdr:row>543</xdr:row>
      <xdr:rowOff>121557</xdr:rowOff>
    </xdr:from>
    <xdr:to>
      <xdr:col>4</xdr:col>
      <xdr:colOff>1863271</xdr:colOff>
      <xdr:row>547</xdr:row>
      <xdr:rowOff>78014</xdr:rowOff>
    </xdr:to>
    <xdr:sp macro="" textlink="">
      <xdr:nvSpPr>
        <xdr:cNvPr id="8" name="Rectangle 7">
          <a:hlinkClick xmlns:r="http://schemas.openxmlformats.org/officeDocument/2006/relationships" r:id="rId7"/>
          <a:extLst>
            <a:ext uri="{FF2B5EF4-FFF2-40B4-BE49-F238E27FC236}">
              <a16:creationId xmlns:a16="http://schemas.microsoft.com/office/drawing/2014/main" id="{8F5A7024-A53D-40B1-8355-2C3729A09FA5}"/>
            </a:ext>
          </a:extLst>
        </xdr:cNvPr>
        <xdr:cNvSpPr/>
      </xdr:nvSpPr>
      <xdr:spPr>
        <a:xfrm>
          <a:off x="7362372" y="64358157"/>
          <a:ext cx="2755899" cy="667657"/>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twoCellAnchor>
    <xdr:from>
      <xdr:col>7</xdr:col>
      <xdr:colOff>19050</xdr:colOff>
      <xdr:row>403</xdr:row>
      <xdr:rowOff>1025237</xdr:rowOff>
    </xdr:from>
    <xdr:to>
      <xdr:col>7</xdr:col>
      <xdr:colOff>2628900</xdr:colOff>
      <xdr:row>403</xdr:row>
      <xdr:rowOff>1215737</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8175F491-2547-4288-94C3-7DA524447DDD}"/>
            </a:ext>
          </a:extLst>
        </xdr:cNvPr>
        <xdr:cNvSpPr/>
      </xdr:nvSpPr>
      <xdr:spPr>
        <a:xfrm>
          <a:off x="14407515" y="12550487"/>
          <a:ext cx="2613660"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7</xdr:col>
      <xdr:colOff>54552</xdr:colOff>
      <xdr:row>403</xdr:row>
      <xdr:rowOff>400049</xdr:rowOff>
    </xdr:from>
    <xdr:to>
      <xdr:col>7</xdr:col>
      <xdr:colOff>895350</xdr:colOff>
      <xdr:row>403</xdr:row>
      <xdr:rowOff>636269</xdr:rowOff>
    </xdr:to>
    <xdr:sp macro="" textlink="">
      <xdr:nvSpPr>
        <xdr:cNvPr id="10" name="Rectangle 9">
          <a:hlinkClick xmlns:r="http://schemas.openxmlformats.org/officeDocument/2006/relationships" r:id="rId2"/>
          <a:extLst>
            <a:ext uri="{FF2B5EF4-FFF2-40B4-BE49-F238E27FC236}">
              <a16:creationId xmlns:a16="http://schemas.microsoft.com/office/drawing/2014/main" id="{3B7A973E-62AC-410D-BE85-70AFDD1C6721}"/>
            </a:ext>
          </a:extLst>
        </xdr:cNvPr>
        <xdr:cNvSpPr/>
      </xdr:nvSpPr>
      <xdr:spPr>
        <a:xfrm flipV="1">
          <a:off x="14446827" y="12915899"/>
          <a:ext cx="840798" cy="23622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164920</xdr:colOff>
      <xdr:row>22</xdr:row>
      <xdr:rowOff>12161</xdr:rowOff>
    </xdr:from>
    <xdr:to>
      <xdr:col>1</xdr:col>
      <xdr:colOff>523815</xdr:colOff>
      <xdr:row>23</xdr:row>
      <xdr:rowOff>8986</xdr:rowOff>
    </xdr:to>
    <xdr:sp macro="" textlink="">
      <xdr:nvSpPr>
        <xdr:cNvPr id="2" name="TextBox 1">
          <a:hlinkClick xmlns:r="http://schemas.openxmlformats.org/officeDocument/2006/relationships" r:id="rId1"/>
          <a:extLst>
            <a:ext uri="{FF2B5EF4-FFF2-40B4-BE49-F238E27FC236}">
              <a16:creationId xmlns:a16="http://schemas.microsoft.com/office/drawing/2014/main" id="{92F13EBD-F6A9-F6FF-AD9E-355D8C46B238}"/>
            </a:ext>
          </a:extLst>
        </xdr:cNvPr>
        <xdr:cNvSpPr txBox="1"/>
      </xdr:nvSpPr>
      <xdr:spPr>
        <a:xfrm>
          <a:off x="164920" y="5268883"/>
          <a:ext cx="1050805" cy="1765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BE" sz="1100"/>
        </a:p>
      </xdr:txBody>
    </xdr:sp>
    <xdr:clientData/>
  </xdr:twoCellAnchor>
  <xdr:twoCellAnchor>
    <xdr:from>
      <xdr:col>10</xdr:col>
      <xdr:colOff>338818</xdr:colOff>
      <xdr:row>549</xdr:row>
      <xdr:rowOff>149679</xdr:rowOff>
    </xdr:from>
    <xdr:to>
      <xdr:col>11</xdr:col>
      <xdr:colOff>1802947</xdr:colOff>
      <xdr:row>557</xdr:row>
      <xdr:rowOff>127908</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3F3D2D47-AF98-4169-A524-BAB1DEACE9CB}"/>
            </a:ext>
          </a:extLst>
        </xdr:cNvPr>
        <xdr:cNvSpPr/>
      </xdr:nvSpPr>
      <xdr:spPr>
        <a:xfrm>
          <a:off x="15807418" y="60685136"/>
          <a:ext cx="2737758" cy="1458686"/>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Social Disclosures</a:t>
          </a:r>
          <a:endParaRPr lang="en-BE" sz="1800" b="1">
            <a:solidFill>
              <a:schemeClr val="tx1"/>
            </a:solidFill>
            <a:effectLst/>
          </a:endParaRPr>
        </a:p>
      </xdr:txBody>
    </xdr:sp>
    <xdr:clientData/>
  </xdr:twoCellAnchor>
  <xdr:twoCellAnchor>
    <xdr:from>
      <xdr:col>10</xdr:col>
      <xdr:colOff>393247</xdr:colOff>
      <xdr:row>558</xdr:row>
      <xdr:rowOff>164647</xdr:rowOff>
    </xdr:from>
    <xdr:to>
      <xdr:col>11</xdr:col>
      <xdr:colOff>1857376</xdr:colOff>
      <xdr:row>566</xdr:row>
      <xdr:rowOff>138793</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55FD9AF0-1E71-4787-98B3-63EBD7D1A459}"/>
            </a:ext>
          </a:extLst>
        </xdr:cNvPr>
        <xdr:cNvSpPr/>
      </xdr:nvSpPr>
      <xdr:spPr>
        <a:xfrm>
          <a:off x="15861847" y="62365618"/>
          <a:ext cx="2737758" cy="1454604"/>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Governance Disclosures</a:t>
          </a:r>
          <a:endParaRPr lang="en-BE" sz="1800" b="1">
            <a:solidFill>
              <a:schemeClr val="tx1"/>
            </a:solidFill>
            <a:effectLst/>
          </a:endParaRPr>
        </a:p>
      </xdr:txBody>
    </xdr:sp>
    <xdr:clientData/>
  </xdr:twoCellAnchor>
  <xdr:twoCellAnchor>
    <xdr:from>
      <xdr:col>4</xdr:col>
      <xdr:colOff>880382</xdr:colOff>
      <xdr:row>551</xdr:row>
      <xdr:rowOff>119743</xdr:rowOff>
    </xdr:from>
    <xdr:to>
      <xdr:col>6</xdr:col>
      <xdr:colOff>732064</xdr:colOff>
      <xdr:row>555</xdr:row>
      <xdr:rowOff>88447</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E1B8D3EB-C8A5-427E-B5B4-003A8002592F}"/>
            </a:ext>
          </a:extLst>
        </xdr:cNvPr>
        <xdr:cNvSpPr/>
      </xdr:nvSpPr>
      <xdr:spPr>
        <a:xfrm>
          <a:off x="8772525" y="61025314"/>
          <a:ext cx="2758168" cy="708933"/>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4</xdr:col>
      <xdr:colOff>869496</xdr:colOff>
      <xdr:row>560</xdr:row>
      <xdr:rowOff>69397</xdr:rowOff>
    </xdr:from>
    <xdr:to>
      <xdr:col>6</xdr:col>
      <xdr:colOff>721178</xdr:colOff>
      <xdr:row>564</xdr:row>
      <xdr:rowOff>38101</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B6C7FA17-3A95-4322-89A6-BE9C7E7EDC7C}"/>
            </a:ext>
          </a:extLst>
        </xdr:cNvPr>
        <xdr:cNvSpPr/>
      </xdr:nvSpPr>
      <xdr:spPr>
        <a:xfrm>
          <a:off x="8761639" y="62640483"/>
          <a:ext cx="2758168" cy="708932"/>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twoCellAnchor>
    <xdr:from>
      <xdr:col>2</xdr:col>
      <xdr:colOff>118382</xdr:colOff>
      <xdr:row>549</xdr:row>
      <xdr:rowOff>107495</xdr:rowOff>
    </xdr:from>
    <xdr:to>
      <xdr:col>2</xdr:col>
      <xdr:colOff>3322819</xdr:colOff>
      <xdr:row>557</xdr:row>
      <xdr:rowOff>162394</xdr:rowOff>
    </xdr:to>
    <xdr:sp macro="" textlink="">
      <xdr:nvSpPr>
        <xdr:cNvPr id="9" name="Arrow: Left 8">
          <a:hlinkClick xmlns:r="http://schemas.openxmlformats.org/officeDocument/2006/relationships" r:id="rId6"/>
          <a:extLst>
            <a:ext uri="{FF2B5EF4-FFF2-40B4-BE49-F238E27FC236}">
              <a16:creationId xmlns:a16="http://schemas.microsoft.com/office/drawing/2014/main" id="{A0A23430-4DD2-E4F0-14C3-62475C30B0A8}"/>
            </a:ext>
          </a:extLst>
        </xdr:cNvPr>
        <xdr:cNvSpPr/>
      </xdr:nvSpPr>
      <xdr:spPr>
        <a:xfrm>
          <a:off x="2754152" y="54221987"/>
          <a:ext cx="3204437" cy="1553915"/>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General Information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160565</xdr:colOff>
      <xdr:row>201</xdr:row>
      <xdr:rowOff>53068</xdr:rowOff>
    </xdr:from>
    <xdr:to>
      <xdr:col>8</xdr:col>
      <xdr:colOff>213633</xdr:colOff>
      <xdr:row>209</xdr:row>
      <xdr:rowOff>31297</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7F0E8-8CEB-48B4-9BA8-D779EA9C83DD}"/>
            </a:ext>
          </a:extLst>
        </xdr:cNvPr>
        <xdr:cNvSpPr/>
      </xdr:nvSpPr>
      <xdr:spPr>
        <a:xfrm>
          <a:off x="11840936" y="31001154"/>
          <a:ext cx="2730954" cy="1458686"/>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Governance Disclosures</a:t>
          </a:r>
          <a:endParaRPr lang="en-BE" sz="1800" b="1">
            <a:solidFill>
              <a:schemeClr val="tx1"/>
            </a:solidFill>
            <a:effectLst/>
          </a:endParaRPr>
        </a:p>
      </xdr:txBody>
    </xdr:sp>
    <xdr:clientData/>
  </xdr:twoCellAnchor>
  <xdr:twoCellAnchor>
    <xdr:from>
      <xdr:col>2</xdr:col>
      <xdr:colOff>4667250</xdr:colOff>
      <xdr:row>203</xdr:row>
      <xdr:rowOff>56998</xdr:rowOff>
    </xdr:from>
    <xdr:to>
      <xdr:col>3</xdr:col>
      <xdr:colOff>2346959</xdr:colOff>
      <xdr:row>207</xdr:row>
      <xdr:rowOff>76200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C63E2430-FD6B-43E1-A3F6-4DDC98CB497F}"/>
            </a:ext>
          </a:extLst>
        </xdr:cNvPr>
        <xdr:cNvSpPr/>
      </xdr:nvSpPr>
      <xdr:spPr>
        <a:xfrm>
          <a:off x="6038850" y="21773998"/>
          <a:ext cx="2499359" cy="743102"/>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2</xdr:col>
      <xdr:colOff>4674113</xdr:colOff>
      <xdr:row>213</xdr:row>
      <xdr:rowOff>93556</xdr:rowOff>
    </xdr:from>
    <xdr:to>
      <xdr:col>3</xdr:col>
      <xdr:colOff>2295525</xdr:colOff>
      <xdr:row>217</xdr:row>
      <xdr:rowOff>76200</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926E470B-D682-412F-8335-2455D40665AC}"/>
            </a:ext>
          </a:extLst>
        </xdr:cNvPr>
        <xdr:cNvSpPr/>
      </xdr:nvSpPr>
      <xdr:spPr>
        <a:xfrm>
          <a:off x="6045713" y="23620306"/>
          <a:ext cx="2441062" cy="706544"/>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twoCellAnchor>
    <xdr:from>
      <xdr:col>2</xdr:col>
      <xdr:colOff>1632</xdr:colOff>
      <xdr:row>201</xdr:row>
      <xdr:rowOff>82188</xdr:rowOff>
    </xdr:from>
    <xdr:to>
      <xdr:col>2</xdr:col>
      <xdr:colOff>2752725</xdr:colOff>
      <xdr:row>208</xdr:row>
      <xdr:rowOff>171451</xdr:rowOff>
    </xdr:to>
    <xdr:sp macro="" textlink="">
      <xdr:nvSpPr>
        <xdr:cNvPr id="6" name="Arrow: Left 5">
          <a:hlinkClick xmlns:r="http://schemas.openxmlformats.org/officeDocument/2006/relationships" r:id="rId4"/>
          <a:extLst>
            <a:ext uri="{FF2B5EF4-FFF2-40B4-BE49-F238E27FC236}">
              <a16:creationId xmlns:a16="http://schemas.microsoft.com/office/drawing/2014/main" id="{05D34B3E-7A7B-4C6A-ABAD-12F993B1167B}"/>
            </a:ext>
          </a:extLst>
        </xdr:cNvPr>
        <xdr:cNvSpPr/>
      </xdr:nvSpPr>
      <xdr:spPr>
        <a:xfrm>
          <a:off x="1373232" y="21437238"/>
          <a:ext cx="2751093" cy="1356088"/>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General Information</a:t>
          </a:r>
        </a:p>
      </xdr:txBody>
    </xdr:sp>
    <xdr:clientData/>
  </xdr:twoCellAnchor>
  <xdr:twoCellAnchor>
    <xdr:from>
      <xdr:col>1</xdr:col>
      <xdr:colOff>682261</xdr:colOff>
      <xdr:row>211</xdr:row>
      <xdr:rowOff>60145</xdr:rowOff>
    </xdr:from>
    <xdr:to>
      <xdr:col>2</xdr:col>
      <xdr:colOff>2733674</xdr:colOff>
      <xdr:row>219</xdr:row>
      <xdr:rowOff>38101</xdr:rowOff>
    </xdr:to>
    <xdr:sp macro="" textlink="">
      <xdr:nvSpPr>
        <xdr:cNvPr id="7" name="Arrow: Left 6">
          <a:hlinkClick xmlns:r="http://schemas.openxmlformats.org/officeDocument/2006/relationships" r:id="rId5"/>
          <a:extLst>
            <a:ext uri="{FF2B5EF4-FFF2-40B4-BE49-F238E27FC236}">
              <a16:creationId xmlns:a16="http://schemas.microsoft.com/office/drawing/2014/main" id="{7A757C88-ADDE-437C-BBC5-46F7C62BF5E6}"/>
            </a:ext>
          </a:extLst>
        </xdr:cNvPr>
        <xdr:cNvSpPr/>
      </xdr:nvSpPr>
      <xdr:spPr>
        <a:xfrm>
          <a:off x="1368061" y="23224945"/>
          <a:ext cx="2737213" cy="1425756"/>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Environmental Information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714376</xdr:colOff>
      <xdr:row>41</xdr:row>
      <xdr:rowOff>134249</xdr:rowOff>
    </xdr:from>
    <xdr:to>
      <xdr:col>7</xdr:col>
      <xdr:colOff>468631</xdr:colOff>
      <xdr:row>45</xdr:row>
      <xdr:rowOff>152400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8DC81852-B45D-4BA7-81E6-18451D6BACFB}"/>
            </a:ext>
          </a:extLst>
        </xdr:cNvPr>
        <xdr:cNvSpPr/>
      </xdr:nvSpPr>
      <xdr:spPr>
        <a:xfrm>
          <a:off x="5000626" y="9764024"/>
          <a:ext cx="3021330" cy="742051"/>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4</xdr:col>
      <xdr:colOff>771525</xdr:colOff>
      <xdr:row>51</xdr:row>
      <xdr:rowOff>85726</xdr:rowOff>
    </xdr:from>
    <xdr:to>
      <xdr:col>7</xdr:col>
      <xdr:colOff>456037</xdr:colOff>
      <xdr:row>55</xdr:row>
      <xdr:rowOff>134042</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BAFACF95-7662-4CC0-AA9A-C0846BB817A7}"/>
            </a:ext>
          </a:extLst>
        </xdr:cNvPr>
        <xdr:cNvSpPr/>
      </xdr:nvSpPr>
      <xdr:spPr>
        <a:xfrm>
          <a:off x="5057775" y="11525251"/>
          <a:ext cx="2951587" cy="772216"/>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twoCellAnchor>
    <xdr:from>
      <xdr:col>1</xdr:col>
      <xdr:colOff>1196939</xdr:colOff>
      <xdr:row>39</xdr:row>
      <xdr:rowOff>104561</xdr:rowOff>
    </xdr:from>
    <xdr:to>
      <xdr:col>3</xdr:col>
      <xdr:colOff>325133</xdr:colOff>
      <xdr:row>47</xdr:row>
      <xdr:rowOff>143734</xdr:rowOff>
    </xdr:to>
    <xdr:sp macro="" textlink="">
      <xdr:nvSpPr>
        <xdr:cNvPr id="4" name="Arrow: Left 3">
          <a:hlinkClick xmlns:r="http://schemas.openxmlformats.org/officeDocument/2006/relationships" r:id="rId3"/>
          <a:extLst>
            <a:ext uri="{FF2B5EF4-FFF2-40B4-BE49-F238E27FC236}">
              <a16:creationId xmlns:a16="http://schemas.microsoft.com/office/drawing/2014/main" id="{D3F3F3FB-C055-40A4-8115-81157E182856}"/>
            </a:ext>
          </a:extLst>
        </xdr:cNvPr>
        <xdr:cNvSpPr/>
      </xdr:nvSpPr>
      <xdr:spPr>
        <a:xfrm>
          <a:off x="1892264" y="13049036"/>
          <a:ext cx="2728644" cy="1486973"/>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General Information</a:t>
          </a:r>
        </a:p>
      </xdr:txBody>
    </xdr:sp>
    <xdr:clientData/>
  </xdr:twoCellAnchor>
  <xdr:twoCellAnchor>
    <xdr:from>
      <xdr:col>1</xdr:col>
      <xdr:colOff>1215989</xdr:colOff>
      <xdr:row>49</xdr:row>
      <xdr:rowOff>87759</xdr:rowOff>
    </xdr:from>
    <xdr:to>
      <xdr:col>3</xdr:col>
      <xdr:colOff>344183</xdr:colOff>
      <xdr:row>57</xdr:row>
      <xdr:rowOff>125754</xdr:rowOff>
    </xdr:to>
    <xdr:sp macro="" textlink="">
      <xdr:nvSpPr>
        <xdr:cNvPr id="6" name="Arrow: Left 5">
          <a:hlinkClick xmlns:r="http://schemas.openxmlformats.org/officeDocument/2006/relationships" r:id="rId4"/>
          <a:extLst>
            <a:ext uri="{FF2B5EF4-FFF2-40B4-BE49-F238E27FC236}">
              <a16:creationId xmlns:a16="http://schemas.microsoft.com/office/drawing/2014/main" id="{E467942C-2652-431A-9503-8B9538F436CF}"/>
            </a:ext>
          </a:extLst>
        </xdr:cNvPr>
        <xdr:cNvSpPr/>
      </xdr:nvSpPr>
      <xdr:spPr>
        <a:xfrm>
          <a:off x="1911314" y="14841984"/>
          <a:ext cx="2728644" cy="1485795"/>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Environmental Information</a:t>
          </a:r>
        </a:p>
      </xdr:txBody>
    </xdr:sp>
    <xdr:clientData/>
  </xdr:twoCellAnchor>
  <xdr:twoCellAnchor>
    <xdr:from>
      <xdr:col>1</xdr:col>
      <xdr:colOff>1206464</xdr:colOff>
      <xdr:row>58</xdr:row>
      <xdr:rowOff>136454</xdr:rowOff>
    </xdr:from>
    <xdr:to>
      <xdr:col>3</xdr:col>
      <xdr:colOff>334658</xdr:colOff>
      <xdr:row>66</xdr:row>
      <xdr:rowOff>174449</xdr:rowOff>
    </xdr:to>
    <xdr:sp macro="" textlink="">
      <xdr:nvSpPr>
        <xdr:cNvPr id="7" name="Arrow: Left 6">
          <a:hlinkClick xmlns:r="http://schemas.openxmlformats.org/officeDocument/2006/relationships" r:id="rId5"/>
          <a:extLst>
            <a:ext uri="{FF2B5EF4-FFF2-40B4-BE49-F238E27FC236}">
              <a16:creationId xmlns:a16="http://schemas.microsoft.com/office/drawing/2014/main" id="{69FF6380-3005-4F74-92F9-46D52069ADDA}"/>
            </a:ext>
          </a:extLst>
        </xdr:cNvPr>
        <xdr:cNvSpPr/>
      </xdr:nvSpPr>
      <xdr:spPr>
        <a:xfrm>
          <a:off x="1901789" y="16519454"/>
          <a:ext cx="2728644" cy="1485795"/>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Social Information</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8" Type="http://schemas.openxmlformats.org/officeDocument/2006/relationships/hyperlink" Target="chrome-extension://efaidnbmnnnibpcajpcglclefindmkaj/https:/www.bhel.com/sites/default/files/gas-properties-cog-1580716150.pdf" TargetMode="External"/><Relationship Id="rId13" Type="http://schemas.openxmlformats.org/officeDocument/2006/relationships/hyperlink" Target="https://osf.io/s2qbt" TargetMode="External"/><Relationship Id="rId18" Type="http://schemas.openxmlformats.org/officeDocument/2006/relationships/hyperlink" Target="http://www.ipcc-nggip.iges.or.jp/efdb/find_ef_ft.php" TargetMode="External"/><Relationship Id="rId3" Type="http://schemas.openxmlformats.org/officeDocument/2006/relationships/hyperlink" Target="https://atdmco.com/wiki-density-of-bitumen/" TargetMode="External"/><Relationship Id="rId21" Type="http://schemas.openxmlformats.org/officeDocument/2006/relationships/hyperlink" Target="https://www.engineeringtoolbox.com/fuels-higher-calorific-values-d_169.html" TargetMode="External"/><Relationship Id="rId7" Type="http://schemas.openxmlformats.org/officeDocument/2006/relationships/hyperlink" Target="https://op.europa.eu/en/publication-detail/-/publication/eaa047e8-644c-4149-bdcb-9dde79c64a12" TargetMode="External"/><Relationship Id="rId12" Type="http://schemas.openxmlformats.org/officeDocument/2006/relationships/hyperlink" Target="https://www.researchgate.net/figure/Density-and-viscosity-of-shale-oil-in-Lucaogou-Formation-Jimsar-Sag_tbl1_336793871" TargetMode="External"/><Relationship Id="rId17" Type="http://schemas.openxmlformats.org/officeDocument/2006/relationships/hyperlink" Target="https://eippcb.jrc.ec.europa.eu/sites/default/files/2020-03/superseded_ref_bref-0203.pdf" TargetMode="External"/><Relationship Id="rId2" Type="http://schemas.openxmlformats.org/officeDocument/2006/relationships/hyperlink" Target="https://www.engineeringtoolbox.com/gasoline-density-specific-heat-dynamic-kinematic-viscosity-thermal-conductivity-vs-temperature-d_2224.html" TargetMode="External"/><Relationship Id="rId16" Type="http://schemas.openxmlformats.org/officeDocument/2006/relationships/hyperlink" Target="https://www.engineeringtoolbox.com/propane-C3H8-density-specific-weight-temperature-pressure-d_2033.html?vA=15&amp;degree" TargetMode="External"/><Relationship Id="rId20" Type="http://schemas.openxmlformats.org/officeDocument/2006/relationships/hyperlink" Target="https://iopscience.iop.org/article/10.1088/1757-899X/912/4/042075" TargetMode="External"/><Relationship Id="rId1" Type="http://schemas.openxmlformats.org/officeDocument/2006/relationships/hyperlink" Target="chrome-extension://efaidnbmnnnibpcajpcglclefindmkaj/https:/cdn.cdp.net/cdp-production/cms/guidance_docs/pdfs/000/000/477/original/CDP-Conversion-of-fuel-data-to-MWh.pdf?1479755175" TargetMode="External"/><Relationship Id="rId6" Type="http://schemas.openxmlformats.org/officeDocument/2006/relationships/hyperlink" Target="http://cyyenergy.com/en/Products/info_itemid_138.html" TargetMode="External"/><Relationship Id="rId11" Type="http://schemas.openxmlformats.org/officeDocument/2006/relationships/hyperlink" Target="https://eur-lex.europa.eu/eli/reg_impl/2018/2066/oj/eng" TargetMode="External"/><Relationship Id="rId24" Type="http://schemas.openxmlformats.org/officeDocument/2006/relationships/hyperlink" Target="https://www.shell.com/business-customers/chemicals/our-products/solvents-hydrocarbon/special-boiling-point-solvents/sbp-140-165.html." TargetMode="External"/><Relationship Id="rId5" Type="http://schemas.openxmlformats.org/officeDocument/2006/relationships/hyperlink" Target="https://www.energuide.be/en/questions-answers/what-is-the-calorific-value-of-gas/9655/" TargetMode="External"/><Relationship Id="rId15" Type="http://schemas.openxmlformats.org/officeDocument/2006/relationships/hyperlink" Target="https://op.europa.eu/en/publication-detail/-/publication/eaa047e8-644c-4149-bdcb-9dde79c64a12" TargetMode="External"/><Relationship Id="rId23" Type="http://schemas.openxmlformats.org/officeDocument/2006/relationships/hyperlink" Target="https://www.mdpi.com/2673-5628/5/1/6;" TargetMode="External"/><Relationship Id="rId10" Type="http://schemas.openxmlformats.org/officeDocument/2006/relationships/hyperlink" Target="https://www.exxonmobil.com/en-bd/commercial-fuel/pds/gl-xx-jetfuel-series" TargetMode="External"/><Relationship Id="rId19" Type="http://schemas.openxmlformats.org/officeDocument/2006/relationships/hyperlink" Target="https://captainslog.gr/wp-content/uploads/2020/12/Sulphite-Lye-Cafn.pdf" TargetMode="External"/><Relationship Id="rId4" Type="http://schemas.openxmlformats.org/officeDocument/2006/relationships/hyperlink" Target="https://engineeringtoolbox.com/gas-density-d_158.html" TargetMode="External"/><Relationship Id="rId9" Type="http://schemas.openxmlformats.org/officeDocument/2006/relationships/hyperlink" Target="https://www.engineeringtoolbox.com/fuels-densities-specific-volumes-d_166.html" TargetMode="External"/><Relationship Id="rId14" Type="http://schemas.openxmlformats.org/officeDocument/2006/relationships/hyperlink" Target="https://archive.epa.gov/emergencies/content/fss/web/pdf/orimuls.pdf" TargetMode="External"/><Relationship Id="rId22" Type="http://schemas.openxmlformats.org/officeDocument/2006/relationships/hyperlink" Target="https://ehs.cranesville.com/msds.pdfs/MSDS(U003).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xbrl.efrag.org/taxonomy/vsme/2026-05-01/vsme-all.xs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3" Type="http://schemas.openxmlformats.org/officeDocument/2006/relationships/hyperlink" Target="https://knowledgehub.efrag.org/eng/interactive/vsme/vsme-standard-annex-i/2025-07-30-ec-rec/47/d" TargetMode="External"/><Relationship Id="rId18" Type="http://schemas.openxmlformats.org/officeDocument/2006/relationships/hyperlink" Target="https://knowledgehub.efrag.org/eng/interactive/vsme/vsme-standard-annex-i/2025-07-30-ec-rec/24/a" TargetMode="External"/><Relationship Id="rId26" Type="http://schemas.openxmlformats.org/officeDocument/2006/relationships/hyperlink" Target="https://knowledgehub.efrag.org/eng/interactive/vsme/vsme-standard-annex-i/2025-07-30-ec-rec/24/e/v" TargetMode="External"/><Relationship Id="rId21" Type="http://schemas.openxmlformats.org/officeDocument/2006/relationships/hyperlink" Target="https://knowledgehub.efrag.org/eng/interactive/vsme/vsme-standard-annex-i/2025-07-30-ec-rec/24/e/i" TargetMode="External"/><Relationship Id="rId34" Type="http://schemas.openxmlformats.org/officeDocument/2006/relationships/hyperlink" Target="https://knowledgehub.efrag.org/eng/interactive/vsme/vsme-guidance-annex-ii/2025-07-30-ec-rec/9" TargetMode="External"/><Relationship Id="rId7" Type="http://schemas.openxmlformats.org/officeDocument/2006/relationships/hyperlink" Target="https://knowledgehub.efrag.org/eng/interactive/vsme/vsme-standard-annex-i/2025-07-30-ec-rec/15" TargetMode="External"/><Relationship Id="rId12" Type="http://schemas.openxmlformats.org/officeDocument/2006/relationships/hyperlink" Target="https://knowledgehub.efrag.org/eng/interactive/vsme/vsme-standard-annex-i/2025-07-30-ec-rec/47/c" TargetMode="External"/><Relationship Id="rId17" Type="http://schemas.openxmlformats.org/officeDocument/2006/relationships/hyperlink" Target="https://knowledgehub.efrag.org/eng/interactive/vsme/vsme-guidance-annex-ii/2025-07-30-ec-rec/148" TargetMode="External"/><Relationship Id="rId25" Type="http://schemas.openxmlformats.org/officeDocument/2006/relationships/hyperlink" Target="https://knowledgehub.efrag.org/eng/interactive/vsme/vsme-standard-annex-i/2025-07-30-ec-rec/24/e/v" TargetMode="External"/><Relationship Id="rId33" Type="http://schemas.openxmlformats.org/officeDocument/2006/relationships/hyperlink" Target="https://knowledgehub.efrag.org/eng/interactive/vsme/vsme-guidance-annex-ii/2025-07-30-ec-rec/7" TargetMode="External"/><Relationship Id="rId38" Type="http://schemas.openxmlformats.org/officeDocument/2006/relationships/drawing" Target="../drawings/drawing2.xml"/><Relationship Id="rId2" Type="http://schemas.openxmlformats.org/officeDocument/2006/relationships/hyperlink" Target="https://knowledgehub.efrag.org/eng/interactive/vsme/vsme-standard-annex-i/2025-07-30-ec-rec/24/d" TargetMode="External"/><Relationship Id="rId16" Type="http://schemas.openxmlformats.org/officeDocument/2006/relationships/hyperlink" Target="https://knowledgehub.efrag.org/eng/interactive/vsme/vsme-guidance-annex-ii/2025-07-30-ec-rec/149" TargetMode="External"/><Relationship Id="rId20" Type="http://schemas.openxmlformats.org/officeDocument/2006/relationships/hyperlink" Target="https://knowledgehub.efrag.org/eng/interactive/vsme/vsme-standard-annex-i/2025-07-30-ec-rec/24/c" TargetMode="External"/><Relationship Id="rId29" Type="http://schemas.openxmlformats.org/officeDocument/2006/relationships/hyperlink" Target="https://knowledgehub.efrag.org/eng/interactive/vsme/vsme-guidance-annex-ii/2025-07-30-ec-rec/4" TargetMode="External"/><Relationship Id="rId1" Type="http://schemas.openxmlformats.org/officeDocument/2006/relationships/hyperlink" Target="https://knowledgehub.efrag.org/eng/interactive/vsme/vsme-standard-annex-i/2025-07-30-ec-rec/16" TargetMode="External"/><Relationship Id="rId6" Type="http://schemas.openxmlformats.org/officeDocument/2006/relationships/hyperlink" Target="https://knowledgehub.efrag.org/eng/interactive/vsme/vsme-standard-annex-i/2025-07-30-ec-rec/26" TargetMode="External"/><Relationship Id="rId11" Type="http://schemas.openxmlformats.org/officeDocument/2006/relationships/hyperlink" Target="https://knowledgehub.efrag.org/eng/interactive/vsme/vsme-standard-annex-i/2025-07-30-ec-rec/47/b" TargetMode="External"/><Relationship Id="rId24" Type="http://schemas.openxmlformats.org/officeDocument/2006/relationships/hyperlink" Target="https://knowledgehub.efrag.org/eng/interactive/vsme/vsme-standard-annex-i/2025-07-30-ec-rec/24/e/iv" TargetMode="External"/><Relationship Id="rId32" Type="http://schemas.openxmlformats.org/officeDocument/2006/relationships/hyperlink" Target="https://knowledgehub.efrag.org/eng/interactive/vsme/vsme-guidance-annex-ii/2025-07-30-ec-rec/7" TargetMode="External"/><Relationship Id="rId37" Type="http://schemas.openxmlformats.org/officeDocument/2006/relationships/printerSettings" Target="../printerSettings/printerSettings2.bin"/><Relationship Id="rId5" Type="http://schemas.openxmlformats.org/officeDocument/2006/relationships/hyperlink" Target="https://knowledgehub.efrag.org/eng/interactive/vsme/vsme-standard-annex-i/2025-07-30-ec-rec/24/e/vii" TargetMode="External"/><Relationship Id="rId15" Type="http://schemas.openxmlformats.org/officeDocument/2006/relationships/hyperlink" Target="https://knowledgehub.efrag.org/eng/interactive/vsme/vsme-guidance-annex-ii/2025-07-30-ec-rec/149" TargetMode="External"/><Relationship Id="rId23" Type="http://schemas.openxmlformats.org/officeDocument/2006/relationships/hyperlink" Target="https://knowledgehub.efrag.org/eng/interactive/vsme/vsme-standard-annex-i/2025-07-30-ec-rec/24/e/iii" TargetMode="External"/><Relationship Id="rId28" Type="http://schemas.openxmlformats.org/officeDocument/2006/relationships/hyperlink" Target="https://knowledgehub.efrag.org/eng/interactive/vsme/vsme-guidance-annex-ii/2025-07-30-ec-rec/14" TargetMode="External"/><Relationship Id="rId36" Type="http://schemas.openxmlformats.org/officeDocument/2006/relationships/hyperlink" Target="https://www.efrag.org/en/vsme-supporting-guide-on-disclosure-c2-comprehensive-module-practices-policies-and-future" TargetMode="External"/><Relationship Id="rId10" Type="http://schemas.openxmlformats.org/officeDocument/2006/relationships/hyperlink" Target="https://knowledgehub.efrag.org/eng/interactive/vsme/vsme-standard-annex-i/2025-07-30-ec-rec/47/a" TargetMode="External"/><Relationship Id="rId19" Type="http://schemas.openxmlformats.org/officeDocument/2006/relationships/hyperlink" Target="https://knowledgehub.efrag.org/eng/interactive/vsme/vsme-standard-annex-i/2025-07-30-ec-rec/24/b" TargetMode="External"/><Relationship Id="rId31" Type="http://schemas.openxmlformats.org/officeDocument/2006/relationships/hyperlink" Target="https://knowledgehub.efrag.org/eng/interactive/vsme/vsme-guidance-annex-ii/2025-07-30-ec-rec/7" TargetMode="External"/><Relationship Id="rId4" Type="http://schemas.openxmlformats.org/officeDocument/2006/relationships/hyperlink" Target="https://knowledgehub.efrag.org/eng/interactive/vsme/vsme-standard-annex-i/2025-07-30-ec-rec/13" TargetMode="External"/><Relationship Id="rId9" Type="http://schemas.openxmlformats.org/officeDocument/2006/relationships/hyperlink" Target="https://knowledgehub.efrag.org/eng/interactive/vsme/vsme-standard-annex-i/2025-07-30-ec-rec/49" TargetMode="External"/><Relationship Id="rId14" Type="http://schemas.openxmlformats.org/officeDocument/2006/relationships/hyperlink" Target="https://knowledgehub.efrag.org/eng/interactive/vsme/vsme-guidance-annex-ii/2025-07-30-ec-rec/149" TargetMode="External"/><Relationship Id="rId22" Type="http://schemas.openxmlformats.org/officeDocument/2006/relationships/hyperlink" Target="https://knowledgehub.efrag.org/eng/interactive/vsme/vsme-standard-annex-i/2025-07-30-ec-rec/24/e/ii" TargetMode="External"/><Relationship Id="rId27" Type="http://schemas.openxmlformats.org/officeDocument/2006/relationships/hyperlink" Target="https://knowledgehub.efrag.org/eng/interactive/vsme/vsme-standard-annex-i/2025-07-30-ec-rec/24/e/vi" TargetMode="External"/><Relationship Id="rId30" Type="http://schemas.openxmlformats.org/officeDocument/2006/relationships/hyperlink" Target="https://knowledgehub.efrag.org/eng/interactive/vsme/vsme-guidance-annex-ii/2025-07-30-ec-rec/5" TargetMode="External"/><Relationship Id="rId35" Type="http://schemas.openxmlformats.org/officeDocument/2006/relationships/hyperlink" Target="https://knowledgehub.efrag.org/eng/interactive/vsme/vsme-guidance-annex-ii/2025-07-30-ec-rec/9" TargetMode="External"/><Relationship Id="rId8" Type="http://schemas.openxmlformats.org/officeDocument/2006/relationships/hyperlink" Target="https://knowledgehub.efrag.org/eng/interactive/vsme/vsme-standard-annex-i/2025-07-30-ec-rec/48" TargetMode="External"/><Relationship Id="rId3" Type="http://schemas.openxmlformats.org/officeDocument/2006/relationships/hyperlink" Target="https://knowledgehub.efrag.org/eng/interactive/vsme/vsme-standard-annex-i/2025-07-30-ec-rec/25"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knowledgehub.efrag.org/eng/interactive/vsme/vsme-standard-annex-i/2025-07-30-ec-rec/50" TargetMode="External"/><Relationship Id="rId18" Type="http://schemas.openxmlformats.org/officeDocument/2006/relationships/hyperlink" Target="https://knowledgehub.efrag.org/eng/interactive/vsme/vsme-standard-annex-i/2025-07-30-ec-rec/55" TargetMode="External"/><Relationship Id="rId26" Type="http://schemas.openxmlformats.org/officeDocument/2006/relationships/hyperlink" Target="https://knowledgehub.efrag.org/eng/interactive/vsme/vsme-standard-annex-i/2025-07-30-ec-rec/31" TargetMode="External"/><Relationship Id="rId39" Type="http://schemas.openxmlformats.org/officeDocument/2006/relationships/hyperlink" Target="https://knowledgehub.efrag.org/eng/interactive/vsme/vsme-standard-annex-i/2025-07-30-ec-rec/38/a" TargetMode="External"/><Relationship Id="rId21" Type="http://schemas.openxmlformats.org/officeDocument/2006/relationships/hyperlink" Target="https://knowledgehub.efrag.org/eng/interactive/vsme/vsme-standard-annex-i/2025-07-30-ec-rec/56" TargetMode="External"/><Relationship Id="rId34" Type="http://schemas.openxmlformats.org/officeDocument/2006/relationships/hyperlink" Target="https://knowledgehub.efrag.org/eng/interactive/vsme/vsme-guidance-annex-ii/2025-07-30-ec-rec/77" TargetMode="External"/><Relationship Id="rId42" Type="http://schemas.openxmlformats.org/officeDocument/2006/relationships/hyperlink" Target="https://knowledgehub.efrag.org/eng/interactive/vsme/vsme-guidance-annex-ii/2025-07-30-ec-rec/108" TargetMode="External"/><Relationship Id="rId47" Type="http://schemas.openxmlformats.org/officeDocument/2006/relationships/hyperlink" Target="https://knowledgehub.efrag.org/eng/interactive/vsme/vsme-guidance-annex-ii/2025-07-30-ec-rec/164" TargetMode="External"/><Relationship Id="rId50" Type="http://schemas.openxmlformats.org/officeDocument/2006/relationships/hyperlink" Target="https://knowledgehub.efrag.org/eng/interactive/vsme/vsme-guidance-annex-ii/2025-07-30-ec-rec/164" TargetMode="External"/><Relationship Id="rId55" Type="http://schemas.openxmlformats.org/officeDocument/2006/relationships/printerSettings" Target="../printerSettings/printerSettings3.bin"/><Relationship Id="rId7" Type="http://schemas.openxmlformats.org/officeDocument/2006/relationships/hyperlink" Target="https://knowledgehub.efrag.org/eng/interactive/vsme/vsme-standard-annex-i/2025-07-30-ec-rec/54/a" TargetMode="External"/><Relationship Id="rId2" Type="http://schemas.openxmlformats.org/officeDocument/2006/relationships/hyperlink" Target="https://knowledgehub.efrag.org/eng/interactive/vsme/vsme-guidance-annex-ii/2025-07-30-ec-rec/18" TargetMode="External"/><Relationship Id="rId16" Type="http://schemas.openxmlformats.org/officeDocument/2006/relationships/hyperlink" Target="https://knowledgehub.efrag.org/eng/interactive/vsme/vsme-standard-annex-i/2025-07-30-ec-rec/54/e" TargetMode="External"/><Relationship Id="rId29" Type="http://schemas.openxmlformats.org/officeDocument/2006/relationships/hyperlink" Target="https://knowledgehub.efrag.org/eng/interactive/vsme/vsme-standard-annex-i/2025-07-30-ec-rec/33" TargetMode="External"/><Relationship Id="rId11" Type="http://schemas.openxmlformats.org/officeDocument/2006/relationships/hyperlink" Target="https://knowledgehub.efrag.org/eng/interactive/vsme/vsme-guidance-annex-ii/2025-07-30-ec-rec/152" TargetMode="External"/><Relationship Id="rId24" Type="http://schemas.openxmlformats.org/officeDocument/2006/relationships/hyperlink" Target="https://knowledgehub.efrag.org/eng/interactive/vsme/vsme-guidance-annex-ii/2025-07-30-ec-rec/160" TargetMode="External"/><Relationship Id="rId32" Type="http://schemas.openxmlformats.org/officeDocument/2006/relationships/hyperlink" Target="https://knowledgehub.efrag.org/eng/interactive/vsme/vsme-guidance-annex-ii/2025-07-30-ec-rec/74" TargetMode="External"/><Relationship Id="rId37" Type="http://schemas.openxmlformats.org/officeDocument/2006/relationships/hyperlink" Target="https://knowledgehub.efrag.org/eng/interactive/vsme/vsme-standard-annex-i/2025-07-30-ec-rec/37" TargetMode="External"/><Relationship Id="rId40" Type="http://schemas.openxmlformats.org/officeDocument/2006/relationships/hyperlink" Target="https://knowledgehub.efrag.org/eng/interactive/vsme/vsme-guidance-annex-ii/2025-07-30-ec-rec/95" TargetMode="External"/><Relationship Id="rId45" Type="http://schemas.openxmlformats.org/officeDocument/2006/relationships/hyperlink" Target="https://knowledgehub.efrag.org/eng/interactive/vsme/vsme-standard-annex-i/2025-07-30-ec-rec/57/c" TargetMode="External"/><Relationship Id="rId53" Type="http://schemas.openxmlformats.org/officeDocument/2006/relationships/hyperlink" Target="https://knowledgehub.efrag.org/eng/interactive/vsme/vsme-standard-annex-i/2025-07-30-ec-rec/10" TargetMode="External"/><Relationship Id="rId5" Type="http://schemas.openxmlformats.org/officeDocument/2006/relationships/hyperlink" Target="https://knowledgehub.efrag.org/eng/interactive/vsme/vsme-standard-annex-i/2025-07-30-ec-rec/30" TargetMode="External"/><Relationship Id="rId10" Type="http://schemas.openxmlformats.org/officeDocument/2006/relationships/hyperlink" Target="https://knowledgehub.efrag.org/eng/interactive/vsme/vsme-guidance-annex-ii/2025-07-30-ec-rec/152" TargetMode="External"/><Relationship Id="rId19" Type="http://schemas.openxmlformats.org/officeDocument/2006/relationships/hyperlink" Target="https://knowledgehub.efrag.org/eng/interactive/vsme/vsme-standard-annex-i/2025-07-30-ec-rec/55" TargetMode="External"/><Relationship Id="rId31" Type="http://schemas.openxmlformats.org/officeDocument/2006/relationships/hyperlink" Target="https://knowledgehub.efrag.org/eng/interactive/vsme/vsme-standard-annex-i/2025-07-30-ec-rec/34" TargetMode="External"/><Relationship Id="rId44" Type="http://schemas.openxmlformats.org/officeDocument/2006/relationships/hyperlink" Target="https://knowledgehub.efrag.org/eng/interactive/vsme/vsme-standard-annex-i/2025-07-30-ec-rec/57/b" TargetMode="External"/><Relationship Id="rId52" Type="http://schemas.openxmlformats.org/officeDocument/2006/relationships/hyperlink" Target="https://knowledgehub.efrag.org/eng/interactive/vsme/vsme-standard-annex-i/2025-07-30-ec-rec/58" TargetMode="External"/><Relationship Id="rId4" Type="http://schemas.openxmlformats.org/officeDocument/2006/relationships/hyperlink" Target="https://knowledgehub.efrag.org/eng/interactive/vsme/vsme-guidance-annex-ii/2025-07-30-ec-rec/18" TargetMode="External"/><Relationship Id="rId9" Type="http://schemas.openxmlformats.org/officeDocument/2006/relationships/hyperlink" Target="https://knowledgehub.efrag.org/eng/interactive/vsme/vsme-guidance-annex-ii/2025-07-30-ec-rec/26" TargetMode="External"/><Relationship Id="rId14" Type="http://schemas.openxmlformats.org/officeDocument/2006/relationships/hyperlink" Target="https://knowledgehub.efrag.org/eng/interactive/vsme/vsme-standard-annex-i/2025-07-30-ec-rec/54/d" TargetMode="External"/><Relationship Id="rId22" Type="http://schemas.openxmlformats.org/officeDocument/2006/relationships/hyperlink" Target="https://knowledgehub.efrag.org/eng/interactive/vsme/vsme-guidance-annex-ii/2025-07-30-ec-rec/160" TargetMode="External"/><Relationship Id="rId27" Type="http://schemas.openxmlformats.org/officeDocument/2006/relationships/hyperlink" Target="https://knowledgehub.efrag.org/eng/interactive/vsme/vsme-standard-annex-i/2025-07-30-ec-rec/b4-pollution-of-air-water-and-soil" TargetMode="External"/><Relationship Id="rId30" Type="http://schemas.openxmlformats.org/officeDocument/2006/relationships/hyperlink" Target="https://knowledgehub.efrag.org/eng/interactive/vsme/vsme-guidance-annex-ii/2025-07-30-ec-rec/70" TargetMode="External"/><Relationship Id="rId35" Type="http://schemas.openxmlformats.org/officeDocument/2006/relationships/hyperlink" Target="https://knowledgehub.efrag.org/eng/interactive/vsme/vsme-standard-annex-i/2025-07-30-ec-rec/36" TargetMode="External"/><Relationship Id="rId43" Type="http://schemas.openxmlformats.org/officeDocument/2006/relationships/hyperlink" Target="https://knowledgehub.efrag.org/eng/interactive/vsme/vsme-standard-annex-i/2025-07-30-ec-rec/57/a" TargetMode="External"/><Relationship Id="rId48" Type="http://schemas.openxmlformats.org/officeDocument/2006/relationships/hyperlink" Target="https://knowledgehub.efrag.org/eng/interactive/vsme/vsme-guidance-annex-ii/2025-07-30-ec-rec/164" TargetMode="External"/><Relationship Id="rId56" Type="http://schemas.openxmlformats.org/officeDocument/2006/relationships/drawing" Target="../drawings/drawing3.xml"/><Relationship Id="rId8" Type="http://schemas.openxmlformats.org/officeDocument/2006/relationships/hyperlink" Target="https://knowledgehub.efrag.org/eng/interactive/vsme/vsme-standard-annex-i/2025-07-30-ec-rec/54/d" TargetMode="External"/><Relationship Id="rId51" Type="http://schemas.openxmlformats.org/officeDocument/2006/relationships/hyperlink" Target="https://knowledgehub.efrag.org/eng/interactive/vsme/vsme-guidance-annex-ii/2025-07-30-ec-rec/164" TargetMode="External"/><Relationship Id="rId3" Type="http://schemas.openxmlformats.org/officeDocument/2006/relationships/hyperlink" Target="https://knowledgehub.efrag.org/eng/interactive/vsme/vsme-standard-annex-i/2025-07-30-ec-rec/29" TargetMode="External"/><Relationship Id="rId12" Type="http://schemas.openxmlformats.org/officeDocument/2006/relationships/hyperlink" Target="https://knowledgehub.efrag.org/eng/interactive/vsme/vsme-guidance-annex-ii/2025-07-30-ec-rec/152" TargetMode="External"/><Relationship Id="rId17" Type="http://schemas.openxmlformats.org/officeDocument/2006/relationships/hyperlink" Target="https://knowledgehub.efrag.org/eng/interactive/vsme/vsme-guidance-annex-ii/2025-07-30-ec-rec/159" TargetMode="External"/><Relationship Id="rId25" Type="http://schemas.openxmlformats.org/officeDocument/2006/relationships/hyperlink" Target="https://knowledgehub.efrag.org/eng/interactive/vsme/vsme-guidance-annex-ii/2025-07-30-ec-rec/160" TargetMode="External"/><Relationship Id="rId33" Type="http://schemas.openxmlformats.org/officeDocument/2006/relationships/hyperlink" Target="https://knowledgehub.efrag.org/eng/interactive/vsme/vsme-standard-annex-i/2025-07-30-ec-rec/35" TargetMode="External"/><Relationship Id="rId38" Type="http://schemas.openxmlformats.org/officeDocument/2006/relationships/hyperlink" Target="https://knowledgehub.efrag.org/eng/interactive/vsme/vsme-guidance-annex-ii/2025-07-30-ec-rec/94" TargetMode="External"/><Relationship Id="rId46" Type="http://schemas.openxmlformats.org/officeDocument/2006/relationships/hyperlink" Target="https://knowledgehub.efrag.org/eng/interactive/vsme/vsme-standard-annex-i/2025-07-30-ec-rec/57/d" TargetMode="External"/><Relationship Id="rId20" Type="http://schemas.openxmlformats.org/officeDocument/2006/relationships/hyperlink" Target="https://knowledgehub.efrag.org/eng/interactive/vsme/vsme-standard-annex-i/2025-07-30-ec-rec/55" TargetMode="External"/><Relationship Id="rId41" Type="http://schemas.openxmlformats.org/officeDocument/2006/relationships/hyperlink" Target="https://knowledgehub.efrag.org/eng/interactive/vsme/vsme-standard-annex-i/2025-07-30-ec-rec/38/c" TargetMode="External"/><Relationship Id="rId54" Type="http://schemas.openxmlformats.org/officeDocument/2006/relationships/hyperlink" Target="https://www.efrag.org/en/vsme-supporting-guide-on-disclosure-c3-comprehensive-module-ghg-reduction-targets-and-climate" TargetMode="External"/><Relationship Id="rId1" Type="http://schemas.openxmlformats.org/officeDocument/2006/relationships/hyperlink" Target="https://knowledgehub.efrag.org/eng/interactive/vsme/vsme-standard-annex-i/2025-07-30-ec-rec/29" TargetMode="External"/><Relationship Id="rId6" Type="http://schemas.openxmlformats.org/officeDocument/2006/relationships/hyperlink" Target="https://knowledgehub.efrag.org/eng/interactive/vsme/vsme-standard-annex-i/2025-07-30-ec-rec/54/b" TargetMode="External"/><Relationship Id="rId15" Type="http://schemas.openxmlformats.org/officeDocument/2006/relationships/hyperlink" Target="https://knowledgehub.efrag.org/eng/interactive/vsme/vsme-guidance-annex-ii/2025-07-30-ec-rec/150" TargetMode="External"/><Relationship Id="rId23" Type="http://schemas.openxmlformats.org/officeDocument/2006/relationships/hyperlink" Target="https://knowledgehub.efrag.org/eng/interactive/vsme/vsme-guidance-annex-ii/2025-07-30-ec-rec/160" TargetMode="External"/><Relationship Id="rId28" Type="http://schemas.openxmlformats.org/officeDocument/2006/relationships/hyperlink" Target="https://knowledgehub.efrag.org/eng/interactive/vsme/vsme-guidance-annex-ii/2025-07-30-ec-rec/46" TargetMode="External"/><Relationship Id="rId36" Type="http://schemas.openxmlformats.org/officeDocument/2006/relationships/hyperlink" Target="https://knowledgehub.efrag.org/eng/interactive/vsme/vsme-guidance-annex-ii/2025-07-30-ec-rec/77" TargetMode="External"/><Relationship Id="rId49" Type="http://schemas.openxmlformats.org/officeDocument/2006/relationships/hyperlink" Target="https://knowledgehub.efrag.org/eng/interactive/vsme/vsme-guidance-annex-ii/2025-07-30-ec-rec/164"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knowledgehub.efrag.org/eng/interactive/vsme/vsme-guidance-annex-ii/2025-07-30-ec-rec/129" TargetMode="External"/><Relationship Id="rId21" Type="http://schemas.openxmlformats.org/officeDocument/2006/relationships/hyperlink" Target="https://knowledgehub.efrag.org/eng/interactive/vsme/vsme-standard-annex-i/2025-07-30-ec-rec/42/b" TargetMode="External"/><Relationship Id="rId42" Type="http://schemas.openxmlformats.org/officeDocument/2006/relationships/hyperlink" Target="https://knowledgehub.efrag.org/eng/interactive/vsme/vsme-standard-annex-i/2025-07-30-ec-rec/61/b" TargetMode="External"/><Relationship Id="rId47" Type="http://schemas.openxmlformats.org/officeDocument/2006/relationships/hyperlink" Target="https://knowledgehub.efrag.org/eng/interactive/vsme/vsme-standard-annex-i/2025-07-30-ec-rec/61/b" TargetMode="External"/><Relationship Id="rId63" Type="http://schemas.openxmlformats.org/officeDocument/2006/relationships/hyperlink" Target="https://knowledgehub.efrag.org/eng/interactive/vsme/vsme-guidance-annex-ii/2025-07-30-ec-rec/174" TargetMode="External"/><Relationship Id="rId68" Type="http://schemas.openxmlformats.org/officeDocument/2006/relationships/hyperlink" Target="https://knowledgehub.efrag.org/eng/interactive/vsme/vsme-guidance-annex-ii/2025-07-30-ec-rec/174" TargetMode="External"/><Relationship Id="rId84" Type="http://schemas.openxmlformats.org/officeDocument/2006/relationships/printerSettings" Target="../printerSettings/printerSettings4.bin"/><Relationship Id="rId16" Type="http://schemas.openxmlformats.org/officeDocument/2006/relationships/hyperlink" Target="https://knowledgehub.efrag.org/eng/interactive/vsme/vsme-guidance-annex-ii/2025-07-30-ec-rec/119" TargetMode="External"/><Relationship Id="rId11" Type="http://schemas.openxmlformats.org/officeDocument/2006/relationships/hyperlink" Target="https://knowledgehub.efrag.org/eng/interactive/vsme/vsme-standard-annex-i/2025-07-30-ec-rec/41/a" TargetMode="External"/><Relationship Id="rId32" Type="http://schemas.openxmlformats.org/officeDocument/2006/relationships/hyperlink" Target="https://knowledgehub.efrag.org/eng/interactive/vsme/vsme-standard-annex-i/2025-07-30-ec-rec/59" TargetMode="External"/><Relationship Id="rId37" Type="http://schemas.openxmlformats.org/officeDocument/2006/relationships/hyperlink" Target="https://knowledgehub.efrag.org/eng/interactive/vsme/vsme-guidance-annex-ii/2025-07-30-ec-rec/167" TargetMode="External"/><Relationship Id="rId53" Type="http://schemas.openxmlformats.org/officeDocument/2006/relationships/hyperlink" Target="https://knowledgehub.efrag.org/eng/interactive/vsme/vsme-guidance-annex-ii/2025-07-30-ec-rec/173" TargetMode="External"/><Relationship Id="rId58" Type="http://schemas.openxmlformats.org/officeDocument/2006/relationships/hyperlink" Target="https://knowledgehub.efrag.org/eng/interactive/vsme/vsme-guidance-annex-ii/2025-07-30-ec-rec/173" TargetMode="External"/><Relationship Id="rId74" Type="http://schemas.openxmlformats.org/officeDocument/2006/relationships/hyperlink" Target="https://knowledgehub.efrag.org/eng/interactive/vsme/vsme-standard-annex-i/2025-07-30-ec-rec/62/a" TargetMode="External"/><Relationship Id="rId79" Type="http://schemas.openxmlformats.org/officeDocument/2006/relationships/hyperlink" Target="https://knowledgehub.efrag.org/eng/interactive/vsme/vsme-standard-annex-i/2025-07-30-ec-rec/62/b" TargetMode="External"/><Relationship Id="rId5" Type="http://schemas.openxmlformats.org/officeDocument/2006/relationships/hyperlink" Target="https://knowledgehub.efrag.org/eng/interactive/vsme/vsme-standard-annex-i/2025-07-30-ec-rec/39/c" TargetMode="External"/><Relationship Id="rId19" Type="http://schemas.openxmlformats.org/officeDocument/2006/relationships/hyperlink" Target="https://knowledgehub.efrag.org/eng/interactive/vsme/vsme-standard-annex-i/2025-07-30-ec-rec/42/a" TargetMode="External"/><Relationship Id="rId14" Type="http://schemas.openxmlformats.org/officeDocument/2006/relationships/hyperlink" Target="https://knowledgehub.efrag.org/eng/interactive/vsme/vsme-guidance-annex-ii/2025-07-30-ec-rec/119" TargetMode="External"/><Relationship Id="rId22" Type="http://schemas.openxmlformats.org/officeDocument/2006/relationships/hyperlink" Target="https://knowledgehub.efrag.org/eng/interactive/vsme/vsme-standard-annex-i/2025-07-30-ec-rec/42/b" TargetMode="External"/><Relationship Id="rId27" Type="http://schemas.openxmlformats.org/officeDocument/2006/relationships/hyperlink" Target="https://knowledgehub.efrag.org/eng/interactive/vsme/vsme-guidance-annex-ii/2025-07-30-ec-rec/129" TargetMode="External"/><Relationship Id="rId30" Type="http://schemas.openxmlformats.org/officeDocument/2006/relationships/hyperlink" Target="https://knowledgehub.efrag.org/eng/interactive/vsme/vsme-standard-annex-i/2025-07-30-ec-rec/59" TargetMode="External"/><Relationship Id="rId35" Type="http://schemas.openxmlformats.org/officeDocument/2006/relationships/hyperlink" Target="https://knowledgehub.efrag.org/eng/interactive/vsme/vsme-guidance-annex-ii/2025-07-30-ec-rec/167" TargetMode="External"/><Relationship Id="rId43" Type="http://schemas.openxmlformats.org/officeDocument/2006/relationships/hyperlink" Target="https://knowledgehub.efrag.org/eng/interactive/vsme/vsme-standard-annex-i/2025-07-30-ec-rec/61/b" TargetMode="External"/><Relationship Id="rId48" Type="http://schemas.openxmlformats.org/officeDocument/2006/relationships/hyperlink" Target="https://knowledgehub.efrag.org/eng/interactive/vsme/vsme-standard-annex-i/2025-07-30-ec-rec/61/b" TargetMode="External"/><Relationship Id="rId56" Type="http://schemas.openxmlformats.org/officeDocument/2006/relationships/hyperlink" Target="https://knowledgehub.efrag.org/eng/interactive/vsme/vsme-guidance-annex-ii/2025-07-30-ec-rec/173" TargetMode="External"/><Relationship Id="rId64" Type="http://schemas.openxmlformats.org/officeDocument/2006/relationships/hyperlink" Target="https://knowledgehub.efrag.org/eng/interactive/vsme/vsme-guidance-annex-ii/2025-07-30-ec-rec/174" TargetMode="External"/><Relationship Id="rId69" Type="http://schemas.openxmlformats.org/officeDocument/2006/relationships/hyperlink" Target="https://knowledgehub.efrag.org/eng/interactive/vsme/vsme-guidance-annex-ii/2025-07-30-ec-rec/174" TargetMode="External"/><Relationship Id="rId77" Type="http://schemas.openxmlformats.org/officeDocument/2006/relationships/hyperlink" Target="https://knowledgehub.efrag.org/eng/interactive/vsme/vsme-standard-annex-i/2025-07-30-ec-rec/62/a" TargetMode="External"/><Relationship Id="rId8" Type="http://schemas.openxmlformats.org/officeDocument/2006/relationships/hyperlink" Target="https://knowledgehub.efrag.org/eng/interactive/vsme/vsme-guidance-annex-ii/2025-07-30-ec-rec/118" TargetMode="External"/><Relationship Id="rId51" Type="http://schemas.openxmlformats.org/officeDocument/2006/relationships/hyperlink" Target="https://knowledgehub.efrag.org/eng/interactive/vsme/vsme-guidance-annex-ii/2025-07-30-ec-rec/173" TargetMode="External"/><Relationship Id="rId72" Type="http://schemas.openxmlformats.org/officeDocument/2006/relationships/hyperlink" Target="https://knowledgehub.efrag.org/eng/interactive/vsme/vsme-standard-annex-i/2025-07-30-ec-rec/62/a" TargetMode="External"/><Relationship Id="rId80" Type="http://schemas.openxmlformats.org/officeDocument/2006/relationships/hyperlink" Target="https://knowledgehub.efrag.org/eng/interactive/vsme/vsme-standard-annex-i/2025-07-30-ec-rec/62/c" TargetMode="External"/><Relationship Id="rId85" Type="http://schemas.openxmlformats.org/officeDocument/2006/relationships/drawing" Target="../drawings/drawing4.xml"/><Relationship Id="rId3" Type="http://schemas.openxmlformats.org/officeDocument/2006/relationships/hyperlink" Target="https://knowledgehub.efrag.org/eng/interactive/vsme/vsme-standard-annex-i/2025-07-30-ec-rec/39/b" TargetMode="External"/><Relationship Id="rId12" Type="http://schemas.openxmlformats.org/officeDocument/2006/relationships/hyperlink" Target="https://knowledgehub.efrag.org/eng/interactive/vsme/vsme-standard-annex-i/2025-07-30-ec-rec/41/a" TargetMode="External"/><Relationship Id="rId17" Type="http://schemas.openxmlformats.org/officeDocument/2006/relationships/hyperlink" Target="https://knowledgehub.efrag.org/eng/interactive/vsme/vsme-guidance-annex-ii/2025-07-30-ec-rec/119" TargetMode="External"/><Relationship Id="rId25" Type="http://schemas.openxmlformats.org/officeDocument/2006/relationships/hyperlink" Target="https://knowledgehub.efrag.org/eng/interactive/vsme/vsme-guidance-annex-ii/2025-07-30-ec-rec/129" TargetMode="External"/><Relationship Id="rId33" Type="http://schemas.openxmlformats.org/officeDocument/2006/relationships/hyperlink" Target="https://knowledgehub.efrag.org/eng/interactive/vsme/vsme-standard-annex-i/2025-07-30-ec-rec/60" TargetMode="External"/><Relationship Id="rId38" Type="http://schemas.openxmlformats.org/officeDocument/2006/relationships/hyperlink" Target="https://knowledgehub.efrag.org/eng/interactive/vsme/vsme-guidance-annex-ii/2025-07-30-ec-rec/170" TargetMode="External"/><Relationship Id="rId46" Type="http://schemas.openxmlformats.org/officeDocument/2006/relationships/hyperlink" Target="https://knowledgehub.efrag.org/eng/interactive/vsme/vsme-standard-annex-i/2025-07-30-ec-rec/61/b" TargetMode="External"/><Relationship Id="rId59" Type="http://schemas.openxmlformats.org/officeDocument/2006/relationships/hyperlink" Target="https://knowledgehub.efrag.org/eng/interactive/vsme/vsme-guidance-annex-ii/2025-07-30-ec-rec/173" TargetMode="External"/><Relationship Id="rId67" Type="http://schemas.openxmlformats.org/officeDocument/2006/relationships/hyperlink" Target="https://knowledgehub.efrag.org/eng/interactive/vsme/vsme-guidance-annex-ii/2025-07-30-ec-rec/174" TargetMode="External"/><Relationship Id="rId20" Type="http://schemas.openxmlformats.org/officeDocument/2006/relationships/hyperlink" Target="https://knowledgehub.efrag.org/eng/interactive/vsme/vsme-standard-annex-i/2025-07-30-ec-rec/42/b" TargetMode="External"/><Relationship Id="rId41" Type="http://schemas.openxmlformats.org/officeDocument/2006/relationships/hyperlink" Target="https://knowledgehub.efrag.org/eng/interactive/vsme/vsme-standard-annex-i/2025-07-30-ec-rec/61/b" TargetMode="External"/><Relationship Id="rId54" Type="http://schemas.openxmlformats.org/officeDocument/2006/relationships/hyperlink" Target="https://knowledgehub.efrag.org/eng/interactive/vsme/vsme-guidance-annex-ii/2025-07-30-ec-rec/173" TargetMode="External"/><Relationship Id="rId62" Type="http://schemas.openxmlformats.org/officeDocument/2006/relationships/hyperlink" Target="https://knowledgehub.efrag.org/eng/interactive/vsme/vsme-guidance-annex-ii/2025-07-30-ec-rec/174" TargetMode="External"/><Relationship Id="rId70" Type="http://schemas.openxmlformats.org/officeDocument/2006/relationships/hyperlink" Target="https://knowledgehub.efrag.org/eng/interactive/vsme/vsme-guidance-annex-ii/2025-07-30-ec-rec/174" TargetMode="External"/><Relationship Id="rId75" Type="http://schemas.openxmlformats.org/officeDocument/2006/relationships/hyperlink" Target="https://knowledgehub.efrag.org/eng/interactive/vsme/vsme-standard-annex-i/2025-07-30-ec-rec/62/a" TargetMode="External"/><Relationship Id="rId83" Type="http://schemas.openxmlformats.org/officeDocument/2006/relationships/hyperlink" Target="https://www.efrag.org/en/vsme-supporting-guide-to-disclosure-c7-comprehensive-module-severe-negative-human-rights-incidents" TargetMode="External"/><Relationship Id="rId1" Type="http://schemas.openxmlformats.org/officeDocument/2006/relationships/hyperlink" Target="https://knowledgehub.efrag.org/eng/interactive/vsme/vsme-standard-annex-i/2025-07-30-ec-rec/39/a" TargetMode="External"/><Relationship Id="rId6" Type="http://schemas.openxmlformats.org/officeDocument/2006/relationships/hyperlink" Target="https://knowledgehub.efrag.org/eng/interactive/vsme/vsme-guidance-annex-ii/2025-07-30-ec-rec/110" TargetMode="External"/><Relationship Id="rId15" Type="http://schemas.openxmlformats.org/officeDocument/2006/relationships/hyperlink" Target="https://knowledgehub.efrag.org/eng/interactive/vsme/vsme-guidance-annex-ii/2025-07-30-ec-rec/119" TargetMode="External"/><Relationship Id="rId23" Type="http://schemas.openxmlformats.org/officeDocument/2006/relationships/hyperlink" Target="https://knowledgehub.efrag.org/eng/interactive/vsme/vsme-standard-annex-i/2025-07-30-ec-rec/42/c" TargetMode="External"/><Relationship Id="rId28" Type="http://schemas.openxmlformats.org/officeDocument/2006/relationships/hyperlink" Target="https://knowledgehub.efrag.org/eng/interactive/vsme/vsme-guidance-annex-ii/2025-07-30-ec-rec/137" TargetMode="External"/><Relationship Id="rId36" Type="http://schemas.openxmlformats.org/officeDocument/2006/relationships/hyperlink" Target="https://knowledgehub.efrag.org/eng/interactive/vsme/vsme-guidance-annex-ii/2025-07-30-ec-rec/167" TargetMode="External"/><Relationship Id="rId49" Type="http://schemas.openxmlformats.org/officeDocument/2006/relationships/hyperlink" Target="https://knowledgehub.efrag.org/eng/interactive/vsme/vsme-standard-annex-i/2025-07-30-ec-rec/61/c" TargetMode="External"/><Relationship Id="rId57" Type="http://schemas.openxmlformats.org/officeDocument/2006/relationships/hyperlink" Target="https://knowledgehub.efrag.org/eng/interactive/vsme/vsme-guidance-annex-ii/2025-07-30-ec-rec/173" TargetMode="External"/><Relationship Id="rId10" Type="http://schemas.openxmlformats.org/officeDocument/2006/relationships/hyperlink" Target="https://knowledgehub.efrag.org/eng/interactive/vsme/vsme-standard-annex-i/2025-07-30-ec-rec/41/a" TargetMode="External"/><Relationship Id="rId31" Type="http://schemas.openxmlformats.org/officeDocument/2006/relationships/hyperlink" Target="https://knowledgehub.efrag.org/eng/interactive/vsme/vsme-standard-annex-i/2025-07-30-ec-rec/59" TargetMode="External"/><Relationship Id="rId44" Type="http://schemas.openxmlformats.org/officeDocument/2006/relationships/hyperlink" Target="https://knowledgehub.efrag.org/eng/interactive/vsme/vsme-standard-annex-i/2025-07-30-ec-rec/61/b" TargetMode="External"/><Relationship Id="rId52" Type="http://schemas.openxmlformats.org/officeDocument/2006/relationships/hyperlink" Target="https://knowledgehub.efrag.org/eng/interactive/vsme/vsme-guidance-annex-ii/2025-07-30-ec-rec/173" TargetMode="External"/><Relationship Id="rId60" Type="http://schemas.openxmlformats.org/officeDocument/2006/relationships/hyperlink" Target="https://knowledgehub.efrag.org/eng/interactive/vsme/vsme-guidance-annex-ii/2025-07-30-ec-rec/174" TargetMode="External"/><Relationship Id="rId65" Type="http://schemas.openxmlformats.org/officeDocument/2006/relationships/hyperlink" Target="https://knowledgehub.efrag.org/eng/interactive/vsme/vsme-guidance-annex-ii/2025-07-30-ec-rec/174" TargetMode="External"/><Relationship Id="rId73" Type="http://schemas.openxmlformats.org/officeDocument/2006/relationships/hyperlink" Target="https://knowledgehub.efrag.org/eng/interactive/vsme/vsme-standard-annex-i/2025-07-30-ec-rec/62/a" TargetMode="External"/><Relationship Id="rId78" Type="http://schemas.openxmlformats.org/officeDocument/2006/relationships/hyperlink" Target="https://knowledgehub.efrag.org/eng/interactive/vsme/vsme-standard-annex-i/2025-07-30-ec-rec/62/a" TargetMode="External"/><Relationship Id="rId81" Type="http://schemas.openxmlformats.org/officeDocument/2006/relationships/hyperlink" Target="https://knowledgehub.efrag.org/eng/interactive/vsme/vsme-standard-annex-i/2025-07-30-ec-rec/62/c" TargetMode="External"/><Relationship Id="rId4" Type="http://schemas.openxmlformats.org/officeDocument/2006/relationships/hyperlink" Target="https://knowledgehub.efrag.org/eng/interactive/vsme/vsme-guidance-annex-ii/2025-07-30-ec-rec/110" TargetMode="External"/><Relationship Id="rId9" Type="http://schemas.openxmlformats.org/officeDocument/2006/relationships/hyperlink" Target="https://knowledgehub.efrag.org/eng/interactive/vsme/vsme-standard-annex-i/2025-07-30-ec-rec/41/a" TargetMode="External"/><Relationship Id="rId13" Type="http://schemas.openxmlformats.org/officeDocument/2006/relationships/hyperlink" Target="https://knowledgehub.efrag.org/eng/interactive/vsme/vsme-standard-annex-i/2025-07-30-ec-rec/41/b" TargetMode="External"/><Relationship Id="rId18" Type="http://schemas.openxmlformats.org/officeDocument/2006/relationships/hyperlink" Target="https://knowledgehub.efrag.org/eng/interactive/vsme/vsme-guidance-annex-ii/2025-07-30-ec-rec/119" TargetMode="External"/><Relationship Id="rId39" Type="http://schemas.openxmlformats.org/officeDocument/2006/relationships/hyperlink" Target="https://knowledgehub.efrag.org/eng/interactive/vsme/vsme-guidance-annex-ii/2025-07-30-ec-rec/170" TargetMode="External"/><Relationship Id="rId34" Type="http://schemas.openxmlformats.org/officeDocument/2006/relationships/hyperlink" Target="https://knowledgehub.efrag.org/eng/interactive/vsme/vsme-standard-annex-i/2025-07-30-ec-rec/60" TargetMode="External"/><Relationship Id="rId50" Type="http://schemas.openxmlformats.org/officeDocument/2006/relationships/hyperlink" Target="https://knowledgehub.efrag.org/eng/interactive/vsme/vsme-guidance-annex-ii/2025-07-30-ec-rec/173" TargetMode="External"/><Relationship Id="rId55" Type="http://schemas.openxmlformats.org/officeDocument/2006/relationships/hyperlink" Target="https://knowledgehub.efrag.org/eng/interactive/vsme/vsme-guidance-annex-ii/2025-07-30-ec-rec/173" TargetMode="External"/><Relationship Id="rId76" Type="http://schemas.openxmlformats.org/officeDocument/2006/relationships/hyperlink" Target="https://knowledgehub.efrag.org/eng/interactive/vsme/vsme-standard-annex-i/2025-07-30-ec-rec/62/a" TargetMode="External"/><Relationship Id="rId7" Type="http://schemas.openxmlformats.org/officeDocument/2006/relationships/hyperlink" Target="https://knowledgehub.efrag.org/eng/interactive/vsme/vsme-standard-annex-i/2025-07-30-ec-rec/40" TargetMode="External"/><Relationship Id="rId71" Type="http://schemas.openxmlformats.org/officeDocument/2006/relationships/hyperlink" Target="https://knowledgehub.efrag.org/eng/interactive/vsme/vsme-standard-annex-i/2025-07-30-ec-rec/62" TargetMode="External"/><Relationship Id="rId2" Type="http://schemas.openxmlformats.org/officeDocument/2006/relationships/hyperlink" Target="https://knowledgehub.efrag.org/eng/interactive/vsme/vsme-guidance-annex-ii/2025-07-30-ec-rec/110" TargetMode="External"/><Relationship Id="rId29" Type="http://schemas.openxmlformats.org/officeDocument/2006/relationships/hyperlink" Target="https://knowledgehub.efrag.org/eng/interactive/vsme/vsme-standard-annex-i/2025-07-30-ec-rec/42/d" TargetMode="External"/><Relationship Id="rId24" Type="http://schemas.openxmlformats.org/officeDocument/2006/relationships/hyperlink" Target="https://knowledgehub.efrag.org/eng/interactive/vsme/vsme-guidance-annex-ii/2025-07-30-ec-rec/127" TargetMode="External"/><Relationship Id="rId40" Type="http://schemas.openxmlformats.org/officeDocument/2006/relationships/hyperlink" Target="https://knowledgehub.efrag.org/eng/interactive/vsme/vsme-standard-annex-i/2025-07-30-ec-rec/61/a" TargetMode="External"/><Relationship Id="rId45" Type="http://schemas.openxmlformats.org/officeDocument/2006/relationships/hyperlink" Target="https://knowledgehub.efrag.org/eng/interactive/vsme/vsme-standard-annex-i/2025-07-30-ec-rec/61/b" TargetMode="External"/><Relationship Id="rId66" Type="http://schemas.openxmlformats.org/officeDocument/2006/relationships/hyperlink" Target="https://knowledgehub.efrag.org/eng/interactive/vsme/vsme-guidance-annex-ii/2025-07-30-ec-rec/174" TargetMode="External"/><Relationship Id="rId61" Type="http://schemas.openxmlformats.org/officeDocument/2006/relationships/hyperlink" Target="https://knowledgehub.efrag.org/eng/interactive/vsme/vsme-guidance-annex-ii/2025-07-30-ec-rec/174" TargetMode="External"/><Relationship Id="rId82" Type="http://schemas.openxmlformats.org/officeDocument/2006/relationships/hyperlink" Target="https://knowledgehub.efrag.org/eng/interactive/vsme/vsme-standard-annex-i/2025-07-30-ec-rec/1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knowledgehub.efrag.org/eng/interactive/vsme/vsme-standard-annex-i/2025-07-30-ec-rec/63/c" TargetMode="External"/><Relationship Id="rId13" Type="http://schemas.openxmlformats.org/officeDocument/2006/relationships/hyperlink" Target="https://knowledgehub.efrag.org/eng/interactive/vsme/vsme-standard-annex-i/2025-07-30-ec-rec/64" TargetMode="External"/><Relationship Id="rId18" Type="http://schemas.openxmlformats.org/officeDocument/2006/relationships/hyperlink" Target="https://knowledgehub.efrag.org/eng/interactive/vsme/vsme-guidance-annex-ii/2025-07-30-ec-rec/175" TargetMode="External"/><Relationship Id="rId26" Type="http://schemas.openxmlformats.org/officeDocument/2006/relationships/hyperlink" Target="https://knowledgehub.efrag.org/eng/interactive/vsme/vsme-guidance-annex-ii/2025-07-30-ec-rec/177/d" TargetMode="External"/><Relationship Id="rId3" Type="http://schemas.openxmlformats.org/officeDocument/2006/relationships/hyperlink" Target="https://knowledgehub.efrag.org/eng/interactive/vsme/vsme-standard-annex-i/2025-07-30-ec-rec/63/a" TargetMode="External"/><Relationship Id="rId21" Type="http://schemas.openxmlformats.org/officeDocument/2006/relationships/hyperlink" Target="https://knowledgehub.efrag.org/eng/interactive/vsme/vsme-guidance-annex-ii/2025-07-30-ec-rec/175" TargetMode="External"/><Relationship Id="rId7" Type="http://schemas.openxmlformats.org/officeDocument/2006/relationships/hyperlink" Target="https://knowledgehub.efrag.org/eng/interactive/vsme/vsme-standard-annex-i/2025-07-30-ec-rec/63/c" TargetMode="External"/><Relationship Id="rId12" Type="http://schemas.openxmlformats.org/officeDocument/2006/relationships/hyperlink" Target="https://knowledgehub.efrag.org/eng/interactive/vsme/vsme-standard-annex-i/2025-07-30-ec-rec/64" TargetMode="External"/><Relationship Id="rId17" Type="http://schemas.openxmlformats.org/officeDocument/2006/relationships/hyperlink" Target="https://knowledgehub.efrag.org/eng/interactive/vsme/vsme-guidance-annex-ii/2025-07-30-ec-rec/175" TargetMode="External"/><Relationship Id="rId25" Type="http://schemas.openxmlformats.org/officeDocument/2006/relationships/hyperlink" Target="https://knowledgehub.efrag.org/eng/interactive/vsme/vsme-guidance-annex-ii/2025-07-30-ec-rec/177/d" TargetMode="External"/><Relationship Id="rId2" Type="http://schemas.openxmlformats.org/officeDocument/2006/relationships/hyperlink" Target="https://knowledgehub.efrag.org/eng/interactive/vsme/vsme-guidance-annex-ii/2025-07-30-ec-rec/141" TargetMode="External"/><Relationship Id="rId16" Type="http://schemas.openxmlformats.org/officeDocument/2006/relationships/hyperlink" Target="https://knowledgehub.efrag.org/eng/interactive/vsme/vsme-guidance-annex-ii/2025-07-30-ec-rec/175" TargetMode="External"/><Relationship Id="rId20" Type="http://schemas.openxmlformats.org/officeDocument/2006/relationships/hyperlink" Target="https://knowledgehub.efrag.org/eng/interactive/vsme/vsme-guidance-annex-ii/2025-07-30-ec-rec/175" TargetMode="External"/><Relationship Id="rId29" Type="http://schemas.openxmlformats.org/officeDocument/2006/relationships/hyperlink" Target="https://knowledgehub.efrag.org/eng/interactive/vsme/vsme-standard-annex-i/2025-07-30-ec-rec/10" TargetMode="External"/><Relationship Id="rId1" Type="http://schemas.openxmlformats.org/officeDocument/2006/relationships/hyperlink" Target="https://knowledgehub.efrag.org/eng/interactive/vsme/vsme-standard-annex-i/2025-07-30-ec-rec/43" TargetMode="External"/><Relationship Id="rId6" Type="http://schemas.openxmlformats.org/officeDocument/2006/relationships/hyperlink" Target="https://knowledgehub.efrag.org/eng/interactive/vsme/vsme-standard-annex-i/2025-07-30-ec-rec/63/c" TargetMode="External"/><Relationship Id="rId11" Type="http://schemas.openxmlformats.org/officeDocument/2006/relationships/hyperlink" Target="https://knowledgehub.efrag.org/eng/interactive/vsme/vsme-standard-annex-i/2025-07-30-ec-rec/64" TargetMode="External"/><Relationship Id="rId24" Type="http://schemas.openxmlformats.org/officeDocument/2006/relationships/hyperlink" Target="https://knowledgehub.efrag.org/eng/interactive/vsme/vsme-guidance-annex-ii/2025-07-30-ec-rec/177/c" TargetMode="External"/><Relationship Id="rId5" Type="http://schemas.openxmlformats.org/officeDocument/2006/relationships/hyperlink" Target="https://knowledgehub.efrag.org/eng/interactive/vsme/vsme-standard-annex-i/2025-07-30-ec-rec/63/c" TargetMode="External"/><Relationship Id="rId15" Type="http://schemas.openxmlformats.org/officeDocument/2006/relationships/hyperlink" Target="https://knowledgehub.efrag.org/eng/interactive/vsme/vsme-guidance-annex-ii/2025-07-30-ec-rec/175" TargetMode="External"/><Relationship Id="rId23" Type="http://schemas.openxmlformats.org/officeDocument/2006/relationships/hyperlink" Target="https://knowledgehub.efrag.org/eng/interactive/vsme/vsme-guidance-annex-ii/2025-07-30-ec-rec/177/b" TargetMode="External"/><Relationship Id="rId28" Type="http://schemas.openxmlformats.org/officeDocument/2006/relationships/hyperlink" Target="https://knowledgehub.efrag.org/eng/interactive/vsme/vsme-guidance-annex-ii/2025-07-30-ec-rec/178" TargetMode="External"/><Relationship Id="rId10" Type="http://schemas.openxmlformats.org/officeDocument/2006/relationships/hyperlink" Target="https://knowledgehub.efrag.org/eng/interactive/vsme/vsme-standard-annex-i/2025-07-30-ec-rec/64" TargetMode="External"/><Relationship Id="rId19" Type="http://schemas.openxmlformats.org/officeDocument/2006/relationships/hyperlink" Target="https://knowledgehub.efrag.org/eng/interactive/vsme/vsme-guidance-annex-ii/2025-07-30-ec-rec/175" TargetMode="External"/><Relationship Id="rId4" Type="http://schemas.openxmlformats.org/officeDocument/2006/relationships/hyperlink" Target="https://knowledgehub.efrag.org/eng/interactive/vsme/vsme-standard-annex-i/2025-07-30-ec-rec/63/b" TargetMode="External"/><Relationship Id="rId9" Type="http://schemas.openxmlformats.org/officeDocument/2006/relationships/hyperlink" Target="https://knowledgehub.efrag.org/eng/interactive/vsme/vsme-standard-annex-i/2025-07-30-ec-rec/63/d" TargetMode="External"/><Relationship Id="rId14" Type="http://schemas.openxmlformats.org/officeDocument/2006/relationships/hyperlink" Target="https://knowledgehub.efrag.org/eng/interactive/vsme/vsme-standard-annex-i/2025-07-30-ec-rec/64" TargetMode="External"/><Relationship Id="rId22" Type="http://schemas.openxmlformats.org/officeDocument/2006/relationships/hyperlink" Target="https://knowledgehub.efrag.org/eng/interactive/vsme/vsme-guidance-annex-ii/2025-07-30-ec-rec/177/a" TargetMode="External"/><Relationship Id="rId27" Type="http://schemas.openxmlformats.org/officeDocument/2006/relationships/hyperlink" Target="https://knowledgehub.efrag.org/eng/interactive/vsme/vsme-standard-annex-i/2025-07-30-ec-rec/65" TargetMode="External"/><Relationship Id="rId30"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7FCE-E16D-49E4-A7B0-FAAD59C0A990}">
  <dimension ref="A1:BH64"/>
  <sheetViews>
    <sheetView topLeftCell="A10" zoomScaleNormal="100" workbookViewId="0">
      <selection activeCell="G7" sqref="G7:P7"/>
    </sheetView>
  </sheetViews>
  <sheetFormatPr baseColWidth="10" defaultColWidth="9.33203125" defaultRowHeight="14.4" x14ac:dyDescent="0.3"/>
  <cols>
    <col min="1" max="16384" width="9.33203125" style="529"/>
  </cols>
  <sheetData>
    <row r="1" spans="1:60" ht="93.6" x14ac:dyDescent="0.3">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row>
    <row r="2" spans="1:60" ht="14.4" customHeight="1" x14ac:dyDescent="0.3">
      <c r="B2" s="530"/>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4"/>
      <c r="AE2" s="530"/>
      <c r="AF2" s="530"/>
      <c r="AG2" s="530"/>
      <c r="AH2" s="530"/>
      <c r="AI2" s="530"/>
      <c r="AJ2" s="530"/>
      <c r="AK2" s="530"/>
      <c r="AL2" s="530"/>
      <c r="AM2" s="530"/>
      <c r="AN2" s="530"/>
      <c r="AO2" s="530"/>
      <c r="AP2" s="530"/>
      <c r="AQ2" s="530"/>
      <c r="AR2" s="530"/>
      <c r="AS2" s="530"/>
      <c r="AT2" s="530"/>
      <c r="AU2" s="530"/>
      <c r="AV2" s="530"/>
      <c r="AW2" s="530"/>
      <c r="AX2" s="530"/>
      <c r="AY2" s="530"/>
      <c r="AZ2" s="530"/>
      <c r="BA2" s="530"/>
      <c r="BB2" s="530"/>
      <c r="BC2" s="530"/>
      <c r="BD2" s="530"/>
      <c r="BE2" s="530"/>
      <c r="BF2" s="530"/>
      <c r="BG2" s="530"/>
      <c r="BH2" s="530"/>
    </row>
    <row r="3" spans="1:60" ht="14.4" customHeight="1" x14ac:dyDescent="0.3">
      <c r="A3" s="530"/>
      <c r="B3" s="530"/>
      <c r="C3" s="530"/>
      <c r="D3" s="530"/>
      <c r="E3" s="530"/>
      <c r="F3" s="530"/>
      <c r="G3" s="530"/>
      <c r="H3" s="530"/>
      <c r="I3" s="530"/>
      <c r="J3" s="530"/>
      <c r="K3" s="530"/>
      <c r="L3" s="530"/>
      <c r="M3" s="530"/>
      <c r="N3" s="530"/>
      <c r="O3" s="530"/>
      <c r="P3" s="530"/>
      <c r="Q3" s="530"/>
      <c r="R3" s="530"/>
      <c r="S3" s="530"/>
      <c r="T3" s="530"/>
      <c r="U3" s="530"/>
      <c r="V3" s="530"/>
      <c r="W3" s="530"/>
      <c r="X3" s="530"/>
      <c r="Y3" s="530"/>
      <c r="Z3" s="530"/>
      <c r="AA3" s="530"/>
      <c r="AB3" s="530"/>
      <c r="AC3" s="530"/>
      <c r="AD3" s="534"/>
      <c r="AE3" s="530"/>
      <c r="AF3" s="530"/>
      <c r="AG3" s="530"/>
      <c r="AH3" s="530"/>
      <c r="AI3" s="530"/>
      <c r="AJ3" s="530"/>
      <c r="AK3" s="530"/>
      <c r="AL3" s="530"/>
      <c r="AM3" s="530"/>
      <c r="AN3" s="530"/>
      <c r="AO3" s="530"/>
      <c r="AP3" s="530"/>
      <c r="AQ3" s="530"/>
      <c r="AR3" s="530"/>
      <c r="AS3" s="530"/>
      <c r="AT3" s="530"/>
      <c r="AU3" s="530"/>
      <c r="AV3" s="530"/>
      <c r="AW3" s="530"/>
      <c r="AX3" s="530"/>
      <c r="AY3" s="530"/>
      <c r="AZ3" s="530"/>
      <c r="BA3" s="530"/>
      <c r="BB3" s="530"/>
      <c r="BC3" s="530"/>
      <c r="BD3" s="530"/>
      <c r="BE3" s="530"/>
      <c r="BF3" s="530"/>
      <c r="BG3" s="530"/>
      <c r="BH3" s="530"/>
    </row>
    <row r="4" spans="1:60" ht="14.4" customHeight="1" thickBot="1" x14ac:dyDescent="0.35">
      <c r="A4" s="530"/>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c r="AB4" s="530"/>
      <c r="AC4" s="530"/>
      <c r="AD4" s="534"/>
      <c r="AE4" s="530"/>
      <c r="AF4" s="530"/>
      <c r="AG4" s="530"/>
      <c r="AH4" s="530"/>
      <c r="AI4" s="530"/>
      <c r="AJ4" s="530"/>
      <c r="AK4" s="530"/>
      <c r="AL4" s="530"/>
      <c r="AM4" s="530"/>
      <c r="AN4" s="530"/>
      <c r="AO4" s="530"/>
      <c r="AP4" s="530"/>
      <c r="AQ4" s="530"/>
      <c r="AR4" s="530"/>
      <c r="AS4" s="530"/>
      <c r="AT4" s="530"/>
      <c r="AU4" s="530"/>
      <c r="AV4" s="530"/>
      <c r="AW4" s="530"/>
      <c r="AX4" s="530"/>
      <c r="AY4" s="530"/>
      <c r="AZ4" s="530"/>
      <c r="BA4" s="530"/>
      <c r="BB4" s="530"/>
      <c r="BC4" s="530"/>
      <c r="BD4" s="530"/>
      <c r="BE4" s="530"/>
      <c r="BF4" s="530"/>
      <c r="BG4" s="530"/>
      <c r="BH4" s="530"/>
    </row>
    <row r="5" spans="1:60" ht="54.6" customHeight="1" x14ac:dyDescent="1.2">
      <c r="A5" s="530"/>
      <c r="B5" s="530"/>
      <c r="C5" s="530"/>
      <c r="D5" s="530"/>
      <c r="E5" s="530"/>
      <c r="F5" s="530"/>
      <c r="G5" s="573" t="str">
        <f>template_language_selection</f>
        <v>Sélection de la langue</v>
      </c>
      <c r="H5" s="574"/>
      <c r="I5" s="574"/>
      <c r="J5" s="574"/>
      <c r="K5" s="574"/>
      <c r="L5" s="574"/>
      <c r="M5" s="574"/>
      <c r="N5" s="574"/>
      <c r="O5" s="574"/>
      <c r="P5" s="575"/>
      <c r="Q5" s="530"/>
      <c r="R5" s="530"/>
      <c r="S5" s="530"/>
      <c r="T5" s="530"/>
      <c r="U5" s="530"/>
      <c r="V5" s="530"/>
      <c r="W5" s="530"/>
      <c r="X5" s="530"/>
      <c r="Y5" s="530"/>
      <c r="Z5" s="530"/>
      <c r="AA5" s="530"/>
      <c r="AB5" s="530"/>
      <c r="AC5" s="530"/>
      <c r="AD5" s="534"/>
      <c r="AE5" s="530"/>
      <c r="AF5" s="530"/>
      <c r="AG5" s="530"/>
      <c r="AH5" s="530"/>
      <c r="AI5" s="530"/>
      <c r="AJ5" s="530"/>
      <c r="AK5" s="530"/>
      <c r="AL5" s="530"/>
      <c r="AM5" s="530"/>
      <c r="AN5" s="530"/>
      <c r="AO5" s="530"/>
      <c r="AP5" s="530"/>
      <c r="AQ5" s="530"/>
      <c r="AR5" s="530"/>
      <c r="AS5" s="530"/>
      <c r="AT5" s="530"/>
      <c r="AU5" s="530"/>
      <c r="AV5" s="530"/>
      <c r="AW5" s="530"/>
      <c r="AX5" s="530"/>
      <c r="AY5" s="530"/>
      <c r="AZ5" s="530"/>
      <c r="BA5" s="530"/>
      <c r="BB5" s="530"/>
      <c r="BC5" s="530"/>
      <c r="BD5" s="530"/>
      <c r="BE5" s="530"/>
      <c r="BF5" s="530"/>
      <c r="BG5" s="530"/>
      <c r="BH5" s="530"/>
    </row>
    <row r="6" spans="1:60" ht="37.200000000000003" customHeight="1" thickBot="1" x14ac:dyDescent="0.35">
      <c r="A6" s="530"/>
      <c r="B6" s="530"/>
      <c r="C6" s="530"/>
      <c r="D6" s="530"/>
      <c r="E6" s="530"/>
      <c r="F6" s="530"/>
      <c r="G6" s="576" t="str">
        <f>template_label_select_template_display_language</f>
        <v>Le modèle numérique VSME permet des traductions dans différentes langues de l’UE.
Veuillez sélectionner la langue dans le menu déroulant ci-dessous.</v>
      </c>
      <c r="H6" s="577"/>
      <c r="I6" s="577"/>
      <c r="J6" s="577"/>
      <c r="K6" s="577"/>
      <c r="L6" s="577"/>
      <c r="M6" s="577"/>
      <c r="N6" s="577"/>
      <c r="O6" s="577"/>
      <c r="P6" s="578"/>
      <c r="Q6" s="530"/>
      <c r="R6" s="530"/>
      <c r="S6" s="530"/>
      <c r="T6" s="530"/>
      <c r="U6" s="530"/>
      <c r="V6" s="530"/>
      <c r="W6" s="530"/>
      <c r="X6" s="530"/>
      <c r="Y6" s="530"/>
      <c r="Z6" s="530"/>
      <c r="AA6" s="530"/>
      <c r="AB6" s="530"/>
      <c r="AC6" s="530"/>
      <c r="AD6" s="534"/>
      <c r="AE6" s="530"/>
      <c r="AF6" s="530"/>
      <c r="AG6" s="530"/>
      <c r="AH6" s="530"/>
      <c r="AI6" s="530"/>
      <c r="AJ6" s="530"/>
      <c r="AK6" s="530"/>
      <c r="AL6" s="530"/>
      <c r="AM6" s="530"/>
      <c r="AN6" s="530"/>
      <c r="AO6" s="530"/>
      <c r="AP6" s="530"/>
      <c r="AQ6" s="530"/>
      <c r="AR6" s="530"/>
      <c r="AS6" s="530"/>
      <c r="AT6" s="530"/>
      <c r="AU6" s="530"/>
      <c r="AV6" s="530"/>
      <c r="AW6" s="530"/>
      <c r="AX6" s="530"/>
      <c r="AY6" s="530"/>
      <c r="AZ6" s="530"/>
      <c r="BA6" s="530"/>
      <c r="BB6" s="530"/>
      <c r="BC6" s="530"/>
      <c r="BD6" s="530"/>
      <c r="BE6" s="530"/>
      <c r="BF6" s="530"/>
      <c r="BG6" s="530"/>
      <c r="BH6" s="530"/>
    </row>
    <row r="7" spans="1:60" ht="28.2" customHeight="1" thickBot="1" x14ac:dyDescent="0.6">
      <c r="A7" s="530"/>
      <c r="B7" s="530"/>
      <c r="C7" s="530"/>
      <c r="D7" s="530"/>
      <c r="E7" s="530"/>
      <c r="F7" s="530"/>
      <c r="G7" s="579" t="s">
        <v>9469</v>
      </c>
      <c r="H7" s="580"/>
      <c r="I7" s="580"/>
      <c r="J7" s="580"/>
      <c r="K7" s="580"/>
      <c r="L7" s="580"/>
      <c r="M7" s="580"/>
      <c r="N7" s="580"/>
      <c r="O7" s="580"/>
      <c r="P7" s="580"/>
      <c r="Q7" s="533" t="s">
        <v>1</v>
      </c>
      <c r="R7" s="532"/>
      <c r="S7" s="530"/>
      <c r="T7" s="530"/>
      <c r="U7" s="530"/>
      <c r="V7" s="530"/>
      <c r="W7" s="530"/>
      <c r="X7" s="530"/>
      <c r="Y7" s="530"/>
      <c r="Z7" s="530"/>
      <c r="AA7" s="530"/>
      <c r="AB7" s="530"/>
      <c r="AC7" s="530"/>
      <c r="AD7" s="534"/>
      <c r="AE7" s="530"/>
      <c r="AF7" s="530"/>
      <c r="AG7" s="530"/>
      <c r="AH7" s="530"/>
      <c r="AI7" s="530"/>
      <c r="AJ7" s="530"/>
      <c r="AK7" s="530"/>
      <c r="AL7" s="530"/>
      <c r="AM7" s="530"/>
      <c r="AN7" s="530"/>
      <c r="AO7" s="530"/>
      <c r="AP7" s="530"/>
      <c r="AQ7" s="530"/>
      <c r="AR7" s="530"/>
      <c r="AS7" s="530"/>
      <c r="AT7" s="530"/>
      <c r="AU7" s="530"/>
      <c r="AV7" s="530"/>
      <c r="AW7" s="530"/>
      <c r="AX7" s="530"/>
      <c r="AY7" s="530"/>
      <c r="AZ7" s="530"/>
      <c r="BA7" s="530"/>
      <c r="BB7" s="530"/>
      <c r="BC7" s="530"/>
      <c r="BD7" s="530"/>
      <c r="BE7" s="530"/>
      <c r="BF7" s="530"/>
      <c r="BG7" s="530"/>
      <c r="BH7" s="530"/>
    </row>
    <row r="8" spans="1:60" ht="14.4" customHeight="1" x14ac:dyDescent="0.3">
      <c r="A8" s="530"/>
      <c r="B8" s="530"/>
      <c r="C8" s="530"/>
      <c r="D8" s="530"/>
      <c r="E8" s="530"/>
      <c r="F8" s="530"/>
      <c r="G8" s="530"/>
      <c r="H8" s="530"/>
      <c r="I8" s="530"/>
      <c r="J8" s="530"/>
      <c r="K8" s="530"/>
      <c r="L8" s="530"/>
      <c r="M8" s="530"/>
      <c r="N8" s="530"/>
      <c r="O8" s="530"/>
      <c r="P8" s="530"/>
      <c r="Q8" s="530"/>
      <c r="R8" s="530"/>
      <c r="S8" s="530"/>
      <c r="T8" s="530"/>
      <c r="U8" s="530"/>
      <c r="V8" s="530"/>
      <c r="W8" s="530"/>
      <c r="X8" s="530"/>
      <c r="Y8" s="530"/>
      <c r="Z8" s="530"/>
      <c r="AA8" s="530"/>
      <c r="AB8" s="530"/>
      <c r="AC8" s="530"/>
      <c r="AD8" s="534"/>
      <c r="AE8" s="530"/>
      <c r="AF8" s="530"/>
      <c r="AG8" s="530"/>
      <c r="AH8" s="530"/>
      <c r="AI8" s="530"/>
      <c r="AJ8" s="530"/>
      <c r="AK8" s="530"/>
      <c r="AL8" s="530"/>
      <c r="AM8" s="530"/>
      <c r="AN8" s="530"/>
      <c r="AO8" s="530"/>
      <c r="AP8" s="530"/>
      <c r="AQ8" s="530"/>
      <c r="AR8" s="530"/>
      <c r="AS8" s="530"/>
      <c r="AT8" s="530"/>
      <c r="AU8" s="530"/>
      <c r="AV8" s="530"/>
      <c r="AW8" s="530"/>
      <c r="AX8" s="530"/>
      <c r="AY8" s="530"/>
      <c r="AZ8" s="530"/>
      <c r="BA8" s="530"/>
      <c r="BB8" s="530"/>
      <c r="BC8" s="530"/>
      <c r="BD8" s="530"/>
      <c r="BE8" s="530"/>
      <c r="BF8" s="530"/>
      <c r="BG8" s="530"/>
      <c r="BH8" s="530"/>
    </row>
    <row r="9" spans="1:60" ht="14.4" customHeight="1" x14ac:dyDescent="0.3">
      <c r="A9" s="530"/>
      <c r="B9" s="530"/>
      <c r="C9" s="530"/>
      <c r="D9" s="530"/>
      <c r="E9" s="530"/>
      <c r="F9" s="530"/>
      <c r="G9" s="530"/>
      <c r="H9" s="530"/>
      <c r="I9" s="530"/>
      <c r="J9" s="530"/>
      <c r="K9" s="530"/>
      <c r="L9" s="530"/>
      <c r="M9" s="530"/>
      <c r="N9" s="530"/>
      <c r="O9" s="530"/>
      <c r="P9" s="530"/>
      <c r="Q9" s="530"/>
      <c r="R9" s="530"/>
      <c r="S9" s="530"/>
      <c r="T9" s="530"/>
      <c r="U9" s="530"/>
      <c r="V9" s="530"/>
      <c r="W9" s="530"/>
      <c r="X9" s="530"/>
      <c r="Y9" s="530"/>
      <c r="Z9" s="530"/>
      <c r="AA9" s="530"/>
      <c r="AB9" s="530"/>
      <c r="AC9" s="530"/>
      <c r="AD9" s="534"/>
      <c r="AE9" s="530"/>
      <c r="AF9" s="530"/>
      <c r="AG9" s="530"/>
      <c r="AH9" s="530"/>
      <c r="AI9" s="530"/>
      <c r="AJ9" s="530"/>
      <c r="AK9" s="530"/>
      <c r="AL9" s="530"/>
      <c r="AM9" s="530"/>
      <c r="AN9" s="530"/>
      <c r="AO9" s="530"/>
      <c r="AP9" s="530"/>
      <c r="AQ9" s="530"/>
      <c r="AR9" s="530"/>
      <c r="AS9" s="530"/>
      <c r="AT9" s="530"/>
      <c r="AU9" s="530"/>
      <c r="AV9" s="530"/>
      <c r="AW9" s="530"/>
      <c r="AX9" s="530"/>
      <c r="AY9" s="530"/>
      <c r="AZ9" s="530"/>
      <c r="BA9" s="530"/>
      <c r="BB9" s="530"/>
      <c r="BC9" s="530"/>
      <c r="BD9" s="530"/>
      <c r="BE9" s="530"/>
      <c r="BF9" s="530"/>
      <c r="BG9" s="530"/>
      <c r="BH9" s="530"/>
    </row>
    <row r="10" spans="1:60" ht="14.4" customHeight="1" x14ac:dyDescent="0.3">
      <c r="A10" s="530"/>
      <c r="B10" s="530"/>
      <c r="C10" s="530"/>
      <c r="D10" s="530"/>
      <c r="E10" s="530"/>
      <c r="F10" s="530"/>
      <c r="G10" s="530"/>
      <c r="H10" s="530"/>
      <c r="I10" s="530"/>
      <c r="J10" s="530"/>
      <c r="K10" s="530"/>
      <c r="L10" s="530"/>
      <c r="M10" s="530"/>
      <c r="N10" s="530"/>
      <c r="O10" s="530"/>
      <c r="P10" s="530"/>
      <c r="Q10" s="530"/>
      <c r="R10" s="530"/>
      <c r="S10" s="530"/>
      <c r="T10" s="530"/>
      <c r="U10" s="530"/>
      <c r="V10" s="530"/>
      <c r="W10" s="530"/>
      <c r="X10" s="530"/>
      <c r="Y10" s="530"/>
      <c r="Z10" s="530"/>
      <c r="AA10" s="530"/>
      <c r="AB10" s="530"/>
      <c r="AC10" s="530"/>
      <c r="AD10" s="534"/>
      <c r="AE10" s="530"/>
      <c r="AF10" s="530"/>
      <c r="AG10" s="530"/>
      <c r="AH10" s="530"/>
      <c r="AI10" s="530"/>
      <c r="AJ10" s="530"/>
      <c r="AK10" s="530"/>
      <c r="AL10" s="530"/>
      <c r="AM10" s="530"/>
      <c r="AN10" s="530"/>
      <c r="AO10" s="530"/>
      <c r="AP10" s="530"/>
      <c r="AQ10" s="530"/>
      <c r="AR10" s="530"/>
      <c r="AS10" s="530"/>
      <c r="AT10" s="530"/>
      <c r="AU10" s="530"/>
      <c r="AV10" s="530"/>
      <c r="AW10" s="530"/>
      <c r="AX10" s="530"/>
      <c r="AY10" s="530"/>
      <c r="AZ10" s="530"/>
      <c r="BA10" s="530"/>
      <c r="BB10" s="530"/>
      <c r="BC10" s="530"/>
      <c r="BD10" s="530"/>
      <c r="BE10" s="530"/>
      <c r="BF10" s="530"/>
      <c r="BG10" s="530"/>
      <c r="BH10" s="530"/>
    </row>
    <row r="11" spans="1:60" ht="14.4" customHeight="1" x14ac:dyDescent="0.3">
      <c r="A11" s="530"/>
      <c r="B11" s="530"/>
      <c r="C11" s="530"/>
      <c r="D11" s="530"/>
      <c r="E11" s="530"/>
      <c r="F11" s="530"/>
      <c r="G11" s="530"/>
      <c r="H11" s="530"/>
      <c r="I11" s="530"/>
      <c r="J11" s="530"/>
      <c r="K11" s="530"/>
      <c r="L11" s="530"/>
      <c r="M11" s="530"/>
      <c r="N11" s="530"/>
      <c r="O11" s="530"/>
      <c r="P11" s="530"/>
      <c r="Q11" s="530"/>
      <c r="R11" s="530"/>
      <c r="S11" s="530"/>
      <c r="T11" s="530"/>
      <c r="U11" s="530"/>
      <c r="V11" s="530"/>
      <c r="W11" s="530"/>
      <c r="X11" s="530"/>
      <c r="Y11" s="530"/>
      <c r="Z11" s="530"/>
      <c r="AA11" s="530"/>
      <c r="AB11" s="530"/>
      <c r="AC11" s="530"/>
      <c r="AD11" s="534"/>
      <c r="AE11" s="530"/>
      <c r="AF11" s="530"/>
      <c r="AG11" s="530"/>
      <c r="AH11" s="530"/>
      <c r="AI11" s="530"/>
      <c r="AJ11" s="530"/>
      <c r="AK11" s="530"/>
      <c r="AL11" s="530"/>
      <c r="AM11" s="530"/>
      <c r="AN11" s="530"/>
      <c r="AO11" s="530"/>
      <c r="AP11" s="530"/>
      <c r="AQ11" s="530"/>
      <c r="AR11" s="530"/>
      <c r="AS11" s="530"/>
      <c r="AT11" s="530"/>
      <c r="AU11" s="530"/>
      <c r="AV11" s="530"/>
      <c r="AW11" s="530"/>
      <c r="AX11" s="530"/>
      <c r="AY11" s="530"/>
      <c r="AZ11" s="530"/>
      <c r="BA11" s="530"/>
      <c r="BB11" s="530"/>
      <c r="BC11" s="530"/>
      <c r="BD11" s="530"/>
      <c r="BE11" s="530"/>
      <c r="BF11" s="530"/>
      <c r="BG11" s="530"/>
      <c r="BH11" s="530"/>
    </row>
    <row r="12" spans="1:60" ht="14.4" customHeight="1" x14ac:dyDescent="0.3">
      <c r="A12" s="530"/>
      <c r="B12" s="530"/>
      <c r="C12" s="530"/>
      <c r="D12" s="530"/>
      <c r="E12" s="530"/>
      <c r="F12" s="530"/>
      <c r="G12" s="530"/>
      <c r="H12" s="530"/>
      <c r="I12" s="530"/>
      <c r="J12" s="530"/>
      <c r="K12" s="530"/>
      <c r="L12" s="530"/>
      <c r="M12" s="530"/>
      <c r="N12" s="530"/>
      <c r="O12" s="530"/>
      <c r="P12" s="530"/>
      <c r="Q12" s="530"/>
      <c r="R12" s="530"/>
      <c r="S12" s="530"/>
      <c r="T12" s="530"/>
      <c r="U12" s="530"/>
      <c r="V12" s="530"/>
      <c r="W12" s="530"/>
      <c r="X12" s="530"/>
      <c r="Y12" s="530"/>
      <c r="Z12" s="530"/>
      <c r="AA12" s="530"/>
      <c r="AB12" s="530"/>
      <c r="AC12" s="530"/>
      <c r="AD12" s="534"/>
      <c r="AE12" s="530"/>
      <c r="AF12" s="530"/>
      <c r="AG12" s="530"/>
      <c r="AH12" s="530"/>
      <c r="AI12" s="530"/>
      <c r="AJ12" s="530"/>
      <c r="AK12" s="530"/>
      <c r="AL12" s="530"/>
      <c r="AM12" s="530"/>
      <c r="AN12" s="530"/>
      <c r="AO12" s="530"/>
      <c r="AP12" s="530"/>
      <c r="AQ12" s="530"/>
      <c r="AR12" s="530"/>
      <c r="AS12" s="530"/>
      <c r="AT12" s="530"/>
      <c r="AU12" s="530"/>
      <c r="AV12" s="530"/>
      <c r="AW12" s="530"/>
      <c r="AX12" s="530"/>
      <c r="AY12" s="530"/>
      <c r="AZ12" s="530"/>
      <c r="BA12" s="530"/>
      <c r="BB12" s="530"/>
      <c r="BC12" s="530"/>
      <c r="BD12" s="530"/>
      <c r="BE12" s="530"/>
      <c r="BF12" s="530"/>
      <c r="BG12" s="530"/>
      <c r="BH12" s="530"/>
    </row>
    <row r="13" spans="1:60" ht="14.4" customHeight="1" x14ac:dyDescent="0.3">
      <c r="A13" s="530"/>
      <c r="B13" s="530"/>
      <c r="C13" s="530"/>
      <c r="D13" s="530"/>
      <c r="E13" s="530"/>
      <c r="F13" s="530"/>
      <c r="G13" s="530"/>
      <c r="H13" s="530"/>
      <c r="I13" s="530"/>
      <c r="J13" s="530"/>
      <c r="K13" s="530"/>
      <c r="L13" s="530"/>
      <c r="M13" s="530"/>
      <c r="N13" s="530"/>
      <c r="O13" s="530"/>
      <c r="P13" s="530"/>
      <c r="Q13" s="530"/>
      <c r="R13" s="530"/>
      <c r="S13" s="530"/>
      <c r="T13" s="530"/>
      <c r="U13" s="530"/>
      <c r="V13" s="530"/>
      <c r="W13" s="530"/>
      <c r="X13" s="530"/>
      <c r="Y13" s="530"/>
      <c r="Z13" s="530"/>
      <c r="AA13" s="530"/>
      <c r="AB13" s="530"/>
      <c r="AC13" s="530"/>
      <c r="AD13" s="534"/>
      <c r="AE13" s="530"/>
      <c r="AF13" s="530"/>
      <c r="AG13" s="530"/>
      <c r="AH13" s="530"/>
      <c r="AI13" s="530"/>
      <c r="AJ13" s="530"/>
      <c r="AK13" s="530"/>
      <c r="AL13" s="530"/>
      <c r="AM13" s="530"/>
      <c r="AN13" s="530"/>
      <c r="AO13" s="530"/>
      <c r="AP13" s="530"/>
      <c r="AQ13" s="530"/>
      <c r="AR13" s="530"/>
      <c r="AS13" s="530"/>
      <c r="AT13" s="530"/>
      <c r="AU13" s="530"/>
      <c r="AV13" s="530"/>
      <c r="AW13" s="530"/>
      <c r="AX13" s="530"/>
      <c r="AY13" s="530"/>
      <c r="AZ13" s="530"/>
      <c r="BA13" s="530"/>
      <c r="BB13" s="530"/>
      <c r="BC13" s="530"/>
      <c r="BD13" s="530"/>
      <c r="BE13" s="530"/>
      <c r="BF13" s="530"/>
      <c r="BG13" s="530"/>
      <c r="BH13" s="530"/>
    </row>
    <row r="14" spans="1:60" ht="14.4" customHeight="1" x14ac:dyDescent="0.3">
      <c r="A14" s="530"/>
      <c r="B14" s="530"/>
      <c r="C14" s="530"/>
      <c r="D14" s="530"/>
      <c r="E14" s="530"/>
      <c r="F14" s="530"/>
      <c r="G14" s="530"/>
      <c r="H14" s="530"/>
      <c r="I14" s="530"/>
      <c r="J14" s="530"/>
      <c r="K14" s="530"/>
      <c r="L14" s="530"/>
      <c r="M14" s="530"/>
      <c r="N14" s="530"/>
      <c r="O14" s="530"/>
      <c r="P14" s="530"/>
      <c r="Q14" s="530"/>
      <c r="R14" s="530"/>
      <c r="S14" s="530"/>
      <c r="T14" s="530"/>
      <c r="U14" s="530"/>
      <c r="V14" s="530"/>
      <c r="W14" s="530"/>
      <c r="X14" s="530"/>
      <c r="Y14" s="530"/>
      <c r="Z14" s="530"/>
      <c r="AA14" s="530"/>
      <c r="AB14" s="530"/>
      <c r="AC14" s="530"/>
      <c r="AD14" s="534"/>
      <c r="AE14" s="530"/>
      <c r="AF14" s="530"/>
      <c r="AG14" s="530"/>
      <c r="AH14" s="530"/>
      <c r="AI14" s="530"/>
      <c r="AJ14" s="530"/>
      <c r="AK14" s="530"/>
      <c r="AL14" s="530"/>
      <c r="AM14" s="530"/>
      <c r="AN14" s="530"/>
      <c r="AO14" s="530"/>
      <c r="AP14" s="530"/>
      <c r="AQ14" s="530"/>
      <c r="AR14" s="530"/>
      <c r="AS14" s="530"/>
      <c r="AT14" s="530"/>
      <c r="AU14" s="530"/>
      <c r="AV14" s="530"/>
      <c r="AW14" s="530"/>
      <c r="AX14" s="530"/>
      <c r="AY14" s="530"/>
      <c r="AZ14" s="530"/>
      <c r="BA14" s="530"/>
      <c r="BB14" s="530"/>
      <c r="BC14" s="530"/>
      <c r="BD14" s="530"/>
      <c r="BE14" s="530"/>
      <c r="BF14" s="530"/>
      <c r="BG14" s="530"/>
      <c r="BH14" s="530"/>
    </row>
    <row r="15" spans="1:60" ht="14.4" customHeight="1" x14ac:dyDescent="0.3">
      <c r="A15" s="530"/>
      <c r="B15" s="530"/>
      <c r="C15" s="530"/>
      <c r="D15" s="530"/>
      <c r="E15" s="530"/>
      <c r="F15" s="530"/>
      <c r="G15" s="530"/>
      <c r="H15" s="530"/>
      <c r="I15" s="530"/>
      <c r="J15" s="530"/>
      <c r="K15" s="530"/>
      <c r="L15" s="530"/>
      <c r="M15" s="530"/>
      <c r="N15" s="530"/>
      <c r="O15" s="530"/>
      <c r="P15" s="530"/>
      <c r="Q15" s="530"/>
      <c r="R15" s="530"/>
      <c r="S15" s="530"/>
      <c r="T15" s="530"/>
      <c r="U15" s="530"/>
      <c r="V15" s="530"/>
      <c r="W15" s="530"/>
      <c r="X15" s="530"/>
      <c r="Y15" s="530"/>
      <c r="Z15" s="530"/>
      <c r="AA15" s="530"/>
      <c r="AB15" s="530"/>
      <c r="AC15" s="530"/>
      <c r="AD15" s="534"/>
      <c r="AE15" s="530"/>
      <c r="AF15" s="530"/>
      <c r="AG15" s="530"/>
      <c r="AH15" s="530"/>
      <c r="AI15" s="530"/>
      <c r="AJ15" s="530"/>
      <c r="AK15" s="530"/>
      <c r="AL15" s="530"/>
      <c r="AM15" s="530"/>
      <c r="AN15" s="530"/>
      <c r="AO15" s="530"/>
      <c r="AP15" s="530"/>
      <c r="AQ15" s="530"/>
      <c r="AR15" s="530"/>
      <c r="AS15" s="530"/>
      <c r="AT15" s="530"/>
      <c r="AU15" s="530"/>
      <c r="AV15" s="530"/>
      <c r="AW15" s="530"/>
      <c r="AX15" s="530"/>
      <c r="AY15" s="530"/>
      <c r="AZ15" s="530"/>
      <c r="BA15" s="530"/>
      <c r="BB15" s="530"/>
      <c r="BC15" s="530"/>
      <c r="BD15" s="530"/>
      <c r="BE15" s="530"/>
      <c r="BF15" s="530"/>
      <c r="BG15" s="530"/>
      <c r="BH15" s="530"/>
    </row>
    <row r="16" spans="1:60" ht="14.4" customHeight="1" x14ac:dyDescent="0.3">
      <c r="A16" s="530"/>
      <c r="B16" s="530"/>
      <c r="C16" s="530"/>
      <c r="D16" s="530"/>
      <c r="E16" s="530"/>
      <c r="F16" s="530"/>
      <c r="G16" s="530"/>
      <c r="H16" s="530"/>
      <c r="I16" s="530"/>
      <c r="J16" s="530"/>
      <c r="K16" s="530"/>
      <c r="L16" s="530"/>
      <c r="M16" s="530"/>
      <c r="N16" s="530"/>
      <c r="O16" s="530"/>
      <c r="P16" s="530"/>
      <c r="Q16" s="530"/>
      <c r="R16" s="530"/>
      <c r="S16" s="530"/>
      <c r="T16" s="530"/>
      <c r="U16" s="530"/>
      <c r="V16" s="530"/>
      <c r="W16" s="530"/>
      <c r="X16" s="530"/>
      <c r="Y16" s="530"/>
      <c r="Z16" s="530"/>
      <c r="AA16" s="530"/>
      <c r="AB16" s="530"/>
      <c r="AC16" s="530"/>
      <c r="AD16" s="530"/>
      <c r="AE16" s="530"/>
      <c r="AF16" s="530"/>
      <c r="AG16" s="530"/>
      <c r="AH16" s="530"/>
      <c r="AI16" s="530"/>
      <c r="AJ16" s="530"/>
      <c r="AK16" s="530"/>
      <c r="AL16" s="530"/>
      <c r="AM16" s="530"/>
      <c r="AN16" s="530"/>
      <c r="AO16" s="530"/>
      <c r="AP16" s="530"/>
      <c r="AQ16" s="530"/>
      <c r="AR16" s="530"/>
      <c r="AS16" s="530"/>
      <c r="AT16" s="530"/>
      <c r="AU16" s="530"/>
      <c r="AV16" s="530"/>
      <c r="AW16" s="530"/>
      <c r="AX16" s="530"/>
      <c r="AY16" s="530"/>
      <c r="AZ16" s="530"/>
      <c r="BA16" s="530"/>
      <c r="BB16" s="530"/>
      <c r="BC16" s="530"/>
      <c r="BD16" s="530"/>
      <c r="BE16" s="530"/>
      <c r="BF16" s="530"/>
      <c r="BG16" s="530"/>
      <c r="BH16" s="530"/>
    </row>
    <row r="17" spans="1:60" ht="14.4" customHeight="1" x14ac:dyDescent="0.3">
      <c r="A17" s="530"/>
      <c r="B17" s="530"/>
      <c r="C17" s="530"/>
      <c r="D17" s="530"/>
      <c r="E17" s="530"/>
      <c r="F17" s="530"/>
      <c r="G17" s="530"/>
      <c r="H17" s="530"/>
      <c r="I17" s="530"/>
      <c r="J17" s="530"/>
      <c r="K17" s="530"/>
      <c r="L17" s="530"/>
      <c r="M17" s="530"/>
      <c r="N17" s="530"/>
      <c r="O17" s="530"/>
      <c r="P17" s="530"/>
      <c r="Q17" s="530"/>
      <c r="R17" s="530"/>
      <c r="S17" s="530"/>
      <c r="T17" s="530"/>
      <c r="U17" s="530"/>
      <c r="V17" s="530"/>
      <c r="W17" s="530"/>
      <c r="X17" s="530"/>
      <c r="Y17" s="530"/>
      <c r="Z17" s="530"/>
      <c r="AA17" s="530"/>
      <c r="AB17" s="530"/>
      <c r="AC17" s="530"/>
      <c r="AD17" s="530"/>
      <c r="AE17" s="530"/>
      <c r="AF17" s="530"/>
      <c r="AG17" s="530"/>
      <c r="AH17" s="530"/>
      <c r="AI17" s="530"/>
      <c r="AJ17" s="530"/>
      <c r="AK17" s="530"/>
      <c r="AL17" s="530"/>
      <c r="AM17" s="530"/>
      <c r="AN17" s="530"/>
      <c r="AO17" s="530"/>
      <c r="AP17" s="530"/>
      <c r="AQ17" s="530"/>
      <c r="AR17" s="530"/>
      <c r="AS17" s="530"/>
      <c r="AT17" s="530"/>
      <c r="AU17" s="530"/>
      <c r="AV17" s="530"/>
      <c r="AW17" s="530"/>
      <c r="AX17" s="530"/>
      <c r="AY17" s="530"/>
      <c r="AZ17" s="530"/>
      <c r="BA17" s="530"/>
      <c r="BB17" s="530"/>
      <c r="BC17" s="530"/>
      <c r="BD17" s="530"/>
      <c r="BE17" s="530"/>
      <c r="BF17" s="530"/>
      <c r="BG17" s="530"/>
      <c r="BH17" s="530"/>
    </row>
    <row r="18" spans="1:60" ht="14.4" customHeight="1" x14ac:dyDescent="0.3">
      <c r="A18" s="530"/>
      <c r="B18" s="530"/>
      <c r="C18" s="530"/>
      <c r="D18" s="530"/>
      <c r="E18" s="530"/>
      <c r="F18" s="530"/>
      <c r="G18" s="530"/>
      <c r="H18" s="530"/>
      <c r="I18" s="530"/>
      <c r="J18" s="530"/>
      <c r="K18" s="530"/>
      <c r="L18" s="530"/>
      <c r="M18" s="530"/>
      <c r="N18" s="530"/>
      <c r="O18" s="530"/>
      <c r="P18" s="530"/>
      <c r="Q18" s="530"/>
      <c r="R18" s="530"/>
      <c r="S18" s="530"/>
      <c r="T18" s="530"/>
      <c r="U18" s="530"/>
      <c r="V18" s="530"/>
      <c r="W18" s="530"/>
      <c r="X18" s="530"/>
      <c r="Y18" s="530"/>
      <c r="Z18" s="530"/>
      <c r="AA18" s="530"/>
      <c r="AB18" s="530"/>
      <c r="AC18" s="530"/>
      <c r="AD18" s="530"/>
      <c r="AE18" s="530"/>
      <c r="AF18" s="530"/>
      <c r="AG18" s="530"/>
      <c r="AH18" s="530"/>
      <c r="AI18" s="530"/>
      <c r="AJ18" s="530"/>
      <c r="AK18" s="530"/>
      <c r="AL18" s="530"/>
      <c r="AM18" s="530"/>
      <c r="AN18" s="530"/>
      <c r="AO18" s="530"/>
      <c r="AP18" s="530"/>
      <c r="AQ18" s="530"/>
      <c r="AR18" s="530"/>
      <c r="AS18" s="530"/>
      <c r="AT18" s="530"/>
      <c r="AU18" s="530"/>
      <c r="AV18" s="530"/>
      <c r="AW18" s="530"/>
      <c r="AX18" s="530"/>
      <c r="AY18" s="530"/>
      <c r="AZ18" s="530"/>
      <c r="BA18" s="530"/>
      <c r="BB18" s="530"/>
      <c r="BC18" s="530"/>
      <c r="BD18" s="530"/>
      <c r="BE18" s="530"/>
      <c r="BF18" s="530"/>
      <c r="BG18" s="530"/>
      <c r="BH18" s="530"/>
    </row>
    <row r="19" spans="1:60" ht="14.4" customHeight="1" x14ac:dyDescent="0.3">
      <c r="A19" s="530"/>
      <c r="B19" s="530"/>
      <c r="C19" s="530"/>
      <c r="D19" s="530"/>
      <c r="E19" s="530"/>
      <c r="F19" s="530"/>
      <c r="G19" s="530"/>
      <c r="H19" s="530"/>
      <c r="I19" s="530"/>
      <c r="J19" s="530"/>
      <c r="K19" s="530"/>
      <c r="L19" s="530"/>
      <c r="M19" s="530"/>
      <c r="N19" s="530"/>
      <c r="O19" s="530"/>
      <c r="P19" s="530"/>
      <c r="Q19" s="530"/>
      <c r="R19" s="530"/>
      <c r="S19" s="530"/>
      <c r="T19" s="530"/>
      <c r="U19" s="530"/>
      <c r="V19" s="530"/>
      <c r="W19" s="530"/>
      <c r="X19" s="530"/>
      <c r="Y19" s="530"/>
      <c r="Z19" s="530"/>
      <c r="AA19" s="530"/>
      <c r="AB19" s="530"/>
      <c r="AC19" s="530"/>
      <c r="AD19" s="530"/>
      <c r="AE19" s="530"/>
      <c r="AF19" s="530"/>
      <c r="AG19" s="530"/>
      <c r="AH19" s="530"/>
      <c r="AI19" s="530"/>
      <c r="AJ19" s="530"/>
      <c r="AK19" s="530"/>
      <c r="AL19" s="530"/>
      <c r="AM19" s="530"/>
      <c r="AN19" s="530"/>
      <c r="AO19" s="530"/>
      <c r="AP19" s="530"/>
      <c r="AQ19" s="530"/>
      <c r="AR19" s="530"/>
      <c r="AS19" s="530"/>
      <c r="AT19" s="530"/>
      <c r="AU19" s="530"/>
      <c r="AV19" s="530"/>
      <c r="AW19" s="530"/>
      <c r="AX19" s="530"/>
      <c r="AY19" s="530"/>
      <c r="AZ19" s="530"/>
      <c r="BA19" s="530"/>
      <c r="BB19" s="530"/>
      <c r="BC19" s="530"/>
      <c r="BD19" s="530"/>
      <c r="BE19" s="530"/>
      <c r="BF19" s="530"/>
      <c r="BG19" s="530"/>
      <c r="BH19" s="530"/>
    </row>
    <row r="20" spans="1:60" ht="14.4" customHeight="1" x14ac:dyDescent="0.3">
      <c r="A20" s="530"/>
      <c r="B20" s="530"/>
      <c r="C20" s="530"/>
      <c r="D20" s="530"/>
      <c r="E20" s="530"/>
      <c r="F20" s="530"/>
      <c r="G20" s="530"/>
      <c r="H20" s="530"/>
      <c r="I20" s="530"/>
      <c r="J20" s="530"/>
      <c r="K20" s="530"/>
      <c r="L20" s="530"/>
      <c r="M20" s="530"/>
      <c r="N20" s="530"/>
      <c r="O20" s="530"/>
      <c r="P20" s="530"/>
      <c r="Q20" s="530"/>
      <c r="R20" s="530"/>
      <c r="S20" s="530"/>
      <c r="T20" s="530"/>
      <c r="U20" s="530"/>
      <c r="V20" s="530"/>
      <c r="W20" s="530"/>
      <c r="X20" s="530"/>
      <c r="Y20" s="530"/>
      <c r="Z20" s="530"/>
      <c r="AA20" s="530"/>
      <c r="AB20" s="530"/>
      <c r="AC20" s="530"/>
      <c r="AD20" s="530"/>
      <c r="AE20" s="530"/>
      <c r="AF20" s="530"/>
      <c r="AG20" s="530"/>
      <c r="AH20" s="530"/>
      <c r="AI20" s="530"/>
      <c r="AJ20" s="530"/>
      <c r="AK20" s="530"/>
      <c r="AL20" s="530"/>
      <c r="AM20" s="530"/>
      <c r="AN20" s="530"/>
      <c r="AO20" s="530"/>
      <c r="AP20" s="530"/>
      <c r="AQ20" s="530"/>
      <c r="AR20" s="530"/>
      <c r="AS20" s="530"/>
      <c r="AT20" s="530"/>
      <c r="AU20" s="530"/>
      <c r="AV20" s="530"/>
      <c r="AW20" s="530"/>
      <c r="AX20" s="530"/>
      <c r="AY20" s="530"/>
      <c r="AZ20" s="530"/>
      <c r="BA20" s="530"/>
      <c r="BB20" s="530"/>
      <c r="BC20" s="530"/>
      <c r="BD20" s="530"/>
      <c r="BE20" s="530"/>
      <c r="BF20" s="530"/>
      <c r="BG20" s="530"/>
      <c r="BH20" s="530"/>
    </row>
    <row r="21" spans="1:60" ht="14.4" customHeight="1" x14ac:dyDescent="0.3">
      <c r="A21" s="530"/>
      <c r="B21" s="530"/>
      <c r="C21" s="530"/>
      <c r="D21" s="530"/>
      <c r="E21" s="530"/>
      <c r="F21" s="530"/>
      <c r="G21" s="530"/>
      <c r="H21" s="530"/>
      <c r="I21" s="530"/>
      <c r="J21" s="530"/>
      <c r="K21" s="530"/>
      <c r="L21" s="530"/>
      <c r="M21" s="530"/>
      <c r="N21" s="530"/>
      <c r="O21" s="530"/>
      <c r="P21" s="530"/>
      <c r="Q21" s="530"/>
      <c r="R21" s="530"/>
      <c r="S21" s="530"/>
      <c r="T21" s="530"/>
      <c r="U21" s="530"/>
      <c r="V21" s="530"/>
      <c r="W21" s="530"/>
      <c r="X21" s="530"/>
      <c r="Y21" s="530"/>
      <c r="Z21" s="530"/>
      <c r="AA21" s="530"/>
      <c r="AB21" s="530"/>
      <c r="AC21" s="530"/>
      <c r="AD21" s="530"/>
      <c r="AE21" s="530"/>
      <c r="AF21" s="530"/>
      <c r="AG21" s="530"/>
      <c r="AH21" s="530"/>
      <c r="AI21" s="530"/>
      <c r="AJ21" s="530"/>
      <c r="AK21" s="530"/>
      <c r="AL21" s="530"/>
      <c r="AM21" s="530"/>
      <c r="AN21" s="530"/>
      <c r="AO21" s="530"/>
      <c r="AP21" s="530"/>
      <c r="AQ21" s="530"/>
      <c r="AR21" s="530"/>
      <c r="AS21" s="530"/>
      <c r="AT21" s="530"/>
      <c r="AU21" s="530"/>
      <c r="AV21" s="530"/>
      <c r="AW21" s="530"/>
      <c r="AX21" s="530"/>
      <c r="AY21" s="530"/>
      <c r="AZ21" s="530"/>
      <c r="BA21" s="530"/>
      <c r="BB21" s="530"/>
      <c r="BC21" s="530"/>
      <c r="BD21" s="530"/>
      <c r="BE21" s="530"/>
      <c r="BF21" s="530"/>
      <c r="BG21" s="530"/>
      <c r="BH21" s="530"/>
    </row>
    <row r="22" spans="1:60" ht="14.4" customHeight="1" x14ac:dyDescent="0.3">
      <c r="A22" s="530"/>
      <c r="B22" s="530"/>
      <c r="C22" s="530"/>
      <c r="D22" s="530"/>
      <c r="E22" s="530"/>
      <c r="F22" s="530"/>
      <c r="G22" s="530"/>
      <c r="H22" s="530"/>
      <c r="I22" s="530"/>
      <c r="J22" s="530"/>
      <c r="K22" s="530"/>
      <c r="L22" s="530"/>
      <c r="M22" s="530"/>
      <c r="N22" s="530"/>
      <c r="O22" s="530"/>
      <c r="P22" s="530"/>
      <c r="Q22" s="530"/>
      <c r="R22" s="530"/>
      <c r="S22" s="530"/>
      <c r="T22" s="530"/>
      <c r="U22" s="530"/>
      <c r="V22" s="530"/>
      <c r="W22" s="530"/>
      <c r="X22" s="530"/>
      <c r="Y22" s="530"/>
      <c r="Z22" s="530"/>
      <c r="AA22" s="530"/>
      <c r="AB22" s="530"/>
      <c r="AC22" s="530"/>
      <c r="AD22" s="530"/>
      <c r="AE22" s="530"/>
      <c r="AF22" s="530"/>
      <c r="AG22" s="530"/>
      <c r="AH22" s="530"/>
      <c r="AI22" s="530"/>
      <c r="AJ22" s="530"/>
      <c r="AK22" s="530"/>
      <c r="AL22" s="530"/>
      <c r="AM22" s="530"/>
      <c r="AN22" s="530"/>
      <c r="AO22" s="530"/>
      <c r="AP22" s="530"/>
      <c r="AQ22" s="530"/>
      <c r="AR22" s="530"/>
      <c r="AS22" s="530"/>
      <c r="AT22" s="530"/>
      <c r="AU22" s="530"/>
      <c r="AV22" s="530"/>
      <c r="AW22" s="530"/>
      <c r="AX22" s="530"/>
      <c r="AY22" s="530"/>
      <c r="AZ22" s="530"/>
      <c r="BA22" s="530"/>
      <c r="BB22" s="530"/>
      <c r="BC22" s="530"/>
      <c r="BD22" s="530"/>
      <c r="BE22" s="530"/>
      <c r="BF22" s="530"/>
      <c r="BG22" s="530"/>
      <c r="BH22" s="530"/>
    </row>
    <row r="23" spans="1:60" ht="14.4" customHeight="1" x14ac:dyDescent="0.3">
      <c r="A23" s="530"/>
      <c r="B23" s="530"/>
      <c r="C23" s="530"/>
      <c r="D23" s="530"/>
      <c r="E23" s="530"/>
      <c r="F23" s="530"/>
      <c r="G23" s="530"/>
      <c r="H23" s="530"/>
      <c r="I23" s="530"/>
      <c r="J23" s="530"/>
      <c r="K23" s="530"/>
      <c r="L23" s="530"/>
      <c r="M23" s="530"/>
      <c r="N23" s="530"/>
      <c r="O23" s="530"/>
      <c r="P23" s="530"/>
      <c r="Q23" s="530"/>
      <c r="R23" s="530"/>
      <c r="S23" s="530"/>
      <c r="T23" s="530"/>
      <c r="U23" s="530"/>
      <c r="V23" s="530"/>
      <c r="W23" s="530"/>
      <c r="X23" s="530"/>
      <c r="Y23" s="530"/>
      <c r="Z23" s="530"/>
      <c r="AA23" s="530"/>
      <c r="AB23" s="530"/>
      <c r="AC23" s="530"/>
      <c r="AD23" s="530"/>
      <c r="AE23" s="530"/>
      <c r="AF23" s="530"/>
      <c r="AG23" s="530"/>
      <c r="AH23" s="530"/>
      <c r="AI23" s="530"/>
      <c r="AJ23" s="530"/>
      <c r="AK23" s="530"/>
      <c r="AL23" s="530"/>
      <c r="AM23" s="530"/>
      <c r="AN23" s="530"/>
      <c r="AO23" s="530"/>
      <c r="AP23" s="530"/>
      <c r="AQ23" s="530"/>
      <c r="AR23" s="530"/>
      <c r="AS23" s="530"/>
      <c r="AT23" s="530"/>
      <c r="AU23" s="530"/>
      <c r="AV23" s="530"/>
      <c r="AW23" s="530"/>
      <c r="AX23" s="530"/>
      <c r="AY23" s="530"/>
      <c r="AZ23" s="530"/>
      <c r="BA23" s="530"/>
      <c r="BB23" s="530"/>
      <c r="BC23" s="530"/>
      <c r="BD23" s="530"/>
      <c r="BE23" s="530"/>
      <c r="BF23" s="530"/>
      <c r="BG23" s="530"/>
      <c r="BH23" s="530"/>
    </row>
    <row r="24" spans="1:60" ht="14.4" customHeight="1" x14ac:dyDescent="0.3">
      <c r="A24" s="530"/>
      <c r="B24" s="530"/>
      <c r="C24" s="530"/>
      <c r="D24" s="530"/>
      <c r="E24" s="530"/>
      <c r="F24" s="530"/>
      <c r="G24" s="530"/>
      <c r="H24" s="530"/>
      <c r="I24" s="530"/>
      <c r="J24" s="530"/>
      <c r="K24" s="530"/>
      <c r="L24" s="530"/>
      <c r="M24" s="530"/>
      <c r="N24" s="530"/>
      <c r="O24" s="530"/>
      <c r="P24" s="530"/>
      <c r="Q24" s="530"/>
      <c r="R24" s="530"/>
      <c r="S24" s="530"/>
      <c r="T24" s="530"/>
      <c r="U24" s="530"/>
      <c r="V24" s="530"/>
      <c r="W24" s="530"/>
      <c r="X24" s="530"/>
      <c r="Y24" s="530"/>
      <c r="Z24" s="530"/>
      <c r="AA24" s="530"/>
      <c r="AB24" s="530"/>
      <c r="AC24" s="530"/>
      <c r="AD24" s="530"/>
      <c r="AE24" s="530"/>
      <c r="AF24" s="530"/>
      <c r="AG24" s="530"/>
      <c r="AH24" s="530"/>
      <c r="AI24" s="530"/>
      <c r="AJ24" s="530"/>
      <c r="AK24" s="530"/>
      <c r="AL24" s="530"/>
      <c r="AM24" s="530"/>
      <c r="AN24" s="530"/>
      <c r="AO24" s="530"/>
      <c r="AP24" s="530"/>
      <c r="AQ24" s="530"/>
      <c r="AR24" s="530"/>
      <c r="AS24" s="530"/>
      <c r="AT24" s="530"/>
      <c r="AU24" s="530"/>
      <c r="AV24" s="530"/>
      <c r="AW24" s="530"/>
      <c r="AX24" s="530"/>
      <c r="AY24" s="530"/>
      <c r="AZ24" s="530"/>
      <c r="BA24" s="530"/>
      <c r="BB24" s="530"/>
      <c r="BC24" s="530"/>
      <c r="BD24" s="530"/>
      <c r="BE24" s="530"/>
      <c r="BF24" s="530"/>
      <c r="BG24" s="530"/>
      <c r="BH24" s="530"/>
    </row>
    <row r="25" spans="1:60" ht="14.4" customHeight="1" x14ac:dyDescent="0.3">
      <c r="A25" s="530"/>
      <c r="B25" s="530"/>
      <c r="C25" s="530"/>
      <c r="D25" s="530"/>
      <c r="E25" s="530"/>
      <c r="F25" s="530"/>
      <c r="G25" s="530"/>
      <c r="H25" s="530"/>
      <c r="I25" s="530"/>
      <c r="J25" s="530"/>
      <c r="K25" s="530"/>
      <c r="L25" s="530"/>
      <c r="M25" s="530"/>
      <c r="N25" s="530"/>
      <c r="O25" s="530"/>
      <c r="P25" s="530"/>
      <c r="Q25" s="530"/>
      <c r="R25" s="530"/>
      <c r="S25" s="530"/>
      <c r="T25" s="530"/>
      <c r="U25" s="530"/>
      <c r="V25" s="530"/>
      <c r="W25" s="530"/>
      <c r="X25" s="530"/>
      <c r="Y25" s="530"/>
      <c r="Z25" s="530"/>
      <c r="AA25" s="530"/>
      <c r="AB25" s="530"/>
      <c r="AC25" s="530"/>
      <c r="AD25" s="530"/>
      <c r="AE25" s="530"/>
      <c r="AF25" s="530"/>
      <c r="AG25" s="530"/>
      <c r="AH25" s="530"/>
      <c r="AI25" s="530"/>
      <c r="AJ25" s="530"/>
      <c r="AK25" s="530"/>
      <c r="AL25" s="530"/>
      <c r="AM25" s="530"/>
      <c r="AN25" s="530"/>
      <c r="AO25" s="530"/>
      <c r="AP25" s="530"/>
      <c r="AQ25" s="530"/>
      <c r="AR25" s="530"/>
      <c r="AS25" s="530"/>
      <c r="AT25" s="530"/>
      <c r="AU25" s="530"/>
      <c r="AV25" s="530"/>
      <c r="AW25" s="530"/>
      <c r="AX25" s="530"/>
      <c r="AY25" s="530"/>
      <c r="AZ25" s="530"/>
      <c r="BA25" s="530"/>
      <c r="BB25" s="530"/>
      <c r="BC25" s="530"/>
      <c r="BD25" s="530"/>
      <c r="BE25" s="530"/>
      <c r="BF25" s="530"/>
      <c r="BG25" s="530"/>
      <c r="BH25" s="530"/>
    </row>
    <row r="26" spans="1:60" ht="14.4" customHeight="1" x14ac:dyDescent="0.3">
      <c r="A26" s="530"/>
      <c r="B26" s="530"/>
      <c r="C26" s="530"/>
      <c r="D26" s="530"/>
      <c r="E26" s="530"/>
      <c r="F26" s="530"/>
      <c r="G26" s="530"/>
      <c r="H26" s="530"/>
      <c r="I26" s="530"/>
      <c r="J26" s="530"/>
      <c r="K26" s="530"/>
      <c r="L26" s="530"/>
      <c r="M26" s="530"/>
      <c r="N26" s="530"/>
      <c r="O26" s="530"/>
      <c r="P26" s="530"/>
      <c r="Q26" s="530"/>
      <c r="R26" s="530"/>
      <c r="S26" s="530"/>
      <c r="T26" s="530"/>
      <c r="U26" s="530"/>
      <c r="V26" s="530"/>
      <c r="W26" s="530"/>
      <c r="X26" s="530"/>
      <c r="Y26" s="530"/>
      <c r="Z26" s="530"/>
      <c r="AA26" s="530"/>
      <c r="AB26" s="530"/>
      <c r="AC26" s="530"/>
      <c r="AD26" s="530"/>
      <c r="AE26" s="530"/>
      <c r="AF26" s="530"/>
      <c r="AG26" s="530"/>
      <c r="AH26" s="530"/>
      <c r="AI26" s="530"/>
      <c r="AJ26" s="530"/>
      <c r="AK26" s="530"/>
      <c r="AL26" s="530"/>
      <c r="AM26" s="530"/>
      <c r="AN26" s="530"/>
      <c r="AO26" s="530"/>
      <c r="AP26" s="530"/>
      <c r="AQ26" s="530"/>
      <c r="AR26" s="530"/>
      <c r="AS26" s="530"/>
      <c r="AT26" s="530"/>
      <c r="AU26" s="530"/>
      <c r="AV26" s="530"/>
      <c r="AW26" s="530"/>
      <c r="AX26" s="530"/>
      <c r="AY26" s="530"/>
      <c r="AZ26" s="530"/>
      <c r="BA26" s="530"/>
      <c r="BB26" s="530"/>
      <c r="BC26" s="530"/>
      <c r="BD26" s="530"/>
      <c r="BE26" s="530"/>
      <c r="BF26" s="530"/>
      <c r="BG26" s="530"/>
      <c r="BH26" s="530"/>
    </row>
    <row r="27" spans="1:60" ht="14.4" customHeight="1" x14ac:dyDescent="0.3">
      <c r="A27" s="530"/>
      <c r="B27" s="530"/>
      <c r="C27" s="530"/>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0"/>
      <c r="AE27" s="530"/>
      <c r="AF27" s="530"/>
      <c r="AG27" s="530"/>
      <c r="AH27" s="530"/>
      <c r="AI27" s="530"/>
      <c r="AJ27" s="530"/>
      <c r="AK27" s="530"/>
      <c r="AL27" s="530"/>
      <c r="AM27" s="530"/>
      <c r="AN27" s="530"/>
      <c r="AO27" s="530"/>
      <c r="AP27" s="530"/>
      <c r="AQ27" s="530"/>
      <c r="AR27" s="530"/>
      <c r="AS27" s="530"/>
      <c r="AT27" s="530"/>
      <c r="AU27" s="530"/>
      <c r="AV27" s="530"/>
      <c r="AW27" s="530"/>
      <c r="AX27" s="530"/>
      <c r="AY27" s="530"/>
      <c r="AZ27" s="530"/>
      <c r="BA27" s="530"/>
      <c r="BB27" s="530"/>
      <c r="BC27" s="530"/>
      <c r="BD27" s="530"/>
      <c r="BE27" s="530"/>
      <c r="BF27" s="530"/>
      <c r="BG27" s="530"/>
      <c r="BH27" s="530"/>
    </row>
    <row r="28" spans="1:60" ht="14.4" customHeight="1" x14ac:dyDescent="0.3">
      <c r="A28" s="530"/>
      <c r="B28" s="530"/>
      <c r="C28" s="530"/>
      <c r="D28" s="530"/>
      <c r="E28" s="530"/>
      <c r="F28" s="530"/>
      <c r="G28" s="530"/>
      <c r="H28" s="530"/>
      <c r="I28" s="530"/>
      <c r="J28" s="530"/>
      <c r="K28" s="530"/>
      <c r="L28" s="530"/>
      <c r="M28" s="530"/>
      <c r="N28" s="530"/>
      <c r="O28" s="530"/>
      <c r="P28" s="530"/>
      <c r="Q28" s="530"/>
      <c r="R28" s="530"/>
      <c r="S28" s="530"/>
      <c r="T28" s="530"/>
      <c r="U28" s="530"/>
      <c r="V28" s="530"/>
      <c r="W28" s="530"/>
      <c r="X28" s="530"/>
      <c r="Y28" s="530"/>
      <c r="Z28" s="530"/>
      <c r="AA28" s="530"/>
      <c r="AB28" s="530"/>
      <c r="AC28" s="530"/>
      <c r="AD28" s="530"/>
      <c r="AE28" s="530"/>
      <c r="AF28" s="530"/>
      <c r="AG28" s="530"/>
      <c r="AH28" s="530"/>
      <c r="AI28" s="530"/>
      <c r="AJ28" s="530"/>
      <c r="AK28" s="530"/>
      <c r="AL28" s="530"/>
      <c r="AM28" s="530"/>
      <c r="AN28" s="530"/>
      <c r="AO28" s="530"/>
      <c r="AP28" s="530"/>
      <c r="AQ28" s="530"/>
      <c r="AR28" s="530"/>
      <c r="AS28" s="530"/>
      <c r="AT28" s="530"/>
      <c r="AU28" s="530"/>
      <c r="AV28" s="530"/>
      <c r="AW28" s="530"/>
      <c r="AX28" s="530"/>
      <c r="AY28" s="530"/>
      <c r="AZ28" s="530"/>
      <c r="BA28" s="530"/>
      <c r="BB28" s="530"/>
      <c r="BC28" s="530"/>
      <c r="BD28" s="530"/>
      <c r="BE28" s="530"/>
      <c r="BF28" s="530"/>
      <c r="BG28" s="530"/>
      <c r="BH28" s="530"/>
    </row>
    <row r="29" spans="1:60" ht="14.4" customHeight="1" x14ac:dyDescent="0.3">
      <c r="A29" s="530"/>
      <c r="B29" s="530"/>
      <c r="C29" s="530"/>
      <c r="D29" s="530"/>
      <c r="E29" s="530"/>
      <c r="F29" s="530"/>
      <c r="G29" s="530"/>
      <c r="H29" s="530"/>
      <c r="I29" s="530"/>
      <c r="J29" s="530"/>
      <c r="K29" s="530"/>
      <c r="L29" s="530"/>
      <c r="M29" s="530"/>
      <c r="N29" s="530"/>
      <c r="O29" s="530"/>
      <c r="P29" s="530"/>
      <c r="Q29" s="530"/>
      <c r="R29" s="530"/>
      <c r="S29" s="530"/>
      <c r="T29" s="530"/>
      <c r="U29" s="530"/>
      <c r="V29" s="530"/>
      <c r="W29" s="530"/>
      <c r="X29" s="530"/>
      <c r="Y29" s="530"/>
      <c r="Z29" s="530"/>
      <c r="AA29" s="530"/>
      <c r="AB29" s="530"/>
      <c r="AC29" s="530"/>
      <c r="AD29" s="530"/>
      <c r="AE29" s="530"/>
      <c r="AF29" s="530"/>
      <c r="AG29" s="530"/>
      <c r="AH29" s="530"/>
      <c r="AI29" s="530"/>
      <c r="AJ29" s="530"/>
      <c r="AK29" s="530"/>
      <c r="AL29" s="530"/>
      <c r="AM29" s="530"/>
      <c r="AN29" s="530"/>
      <c r="AO29" s="530"/>
      <c r="AP29" s="530"/>
      <c r="AQ29" s="530"/>
      <c r="AR29" s="530"/>
      <c r="AS29" s="530"/>
      <c r="AT29" s="530"/>
      <c r="AU29" s="530"/>
      <c r="AV29" s="530"/>
      <c r="AW29" s="530"/>
      <c r="AX29" s="530"/>
      <c r="AY29" s="530"/>
      <c r="AZ29" s="530"/>
      <c r="BA29" s="530"/>
      <c r="BB29" s="530"/>
      <c r="BC29" s="530"/>
      <c r="BD29" s="530"/>
      <c r="BE29" s="530"/>
      <c r="BF29" s="530"/>
      <c r="BG29" s="530"/>
      <c r="BH29" s="530"/>
    </row>
    <row r="30" spans="1:60" ht="14.4" customHeight="1" x14ac:dyDescent="0.3">
      <c r="A30" s="530"/>
      <c r="B30" s="530"/>
      <c r="C30" s="530"/>
      <c r="D30" s="530"/>
      <c r="E30" s="530"/>
      <c r="F30" s="530"/>
      <c r="G30" s="530"/>
      <c r="H30" s="530"/>
      <c r="I30" s="530"/>
      <c r="J30" s="530"/>
      <c r="K30" s="530"/>
      <c r="L30" s="530"/>
      <c r="M30" s="530"/>
      <c r="N30" s="530"/>
      <c r="O30" s="530"/>
      <c r="P30" s="530"/>
      <c r="Q30" s="530"/>
      <c r="R30" s="530"/>
      <c r="S30" s="530"/>
      <c r="T30" s="530"/>
      <c r="U30" s="530"/>
      <c r="V30" s="530"/>
      <c r="W30" s="530"/>
      <c r="X30" s="530"/>
      <c r="Y30" s="530"/>
      <c r="Z30" s="530"/>
      <c r="AA30" s="530"/>
      <c r="AB30" s="530"/>
      <c r="AC30" s="530"/>
      <c r="AD30" s="530"/>
      <c r="AE30" s="530"/>
      <c r="AF30" s="530"/>
      <c r="AG30" s="530"/>
      <c r="AH30" s="530"/>
      <c r="AI30" s="530"/>
      <c r="AJ30" s="530"/>
      <c r="AK30" s="530"/>
      <c r="AL30" s="530"/>
      <c r="AM30" s="530"/>
      <c r="AN30" s="530"/>
      <c r="AO30" s="530"/>
      <c r="AP30" s="530"/>
      <c r="AQ30" s="530"/>
      <c r="AR30" s="530"/>
      <c r="AS30" s="530"/>
      <c r="AT30" s="530"/>
      <c r="AU30" s="530"/>
      <c r="AV30" s="530"/>
      <c r="AW30" s="530"/>
      <c r="AX30" s="530"/>
      <c r="AY30" s="530"/>
      <c r="AZ30" s="530"/>
      <c r="BA30" s="530"/>
      <c r="BB30" s="530"/>
      <c r="BC30" s="530"/>
      <c r="BD30" s="530"/>
      <c r="BE30" s="530"/>
      <c r="BF30" s="530"/>
      <c r="BG30" s="530"/>
      <c r="BH30" s="530"/>
    </row>
    <row r="31" spans="1:60" ht="14.4" customHeight="1" x14ac:dyDescent="0.3">
      <c r="A31" s="530"/>
      <c r="B31" s="530"/>
      <c r="C31" s="530"/>
      <c r="D31" s="530"/>
      <c r="E31" s="530"/>
      <c r="F31" s="530"/>
      <c r="G31" s="530"/>
      <c r="H31" s="530"/>
      <c r="I31" s="530"/>
      <c r="J31" s="530"/>
      <c r="K31" s="530"/>
      <c r="L31" s="530"/>
      <c r="M31" s="530"/>
      <c r="N31" s="530"/>
      <c r="O31" s="530"/>
      <c r="P31" s="530"/>
      <c r="Q31" s="530"/>
      <c r="R31" s="530"/>
      <c r="S31" s="530"/>
      <c r="T31" s="530"/>
      <c r="U31" s="530"/>
      <c r="V31" s="530"/>
      <c r="W31" s="530"/>
      <c r="X31" s="530"/>
      <c r="Y31" s="530"/>
      <c r="Z31" s="530"/>
      <c r="AA31" s="530"/>
      <c r="AB31" s="530"/>
      <c r="AC31" s="530"/>
      <c r="AD31" s="530"/>
      <c r="AE31" s="530"/>
      <c r="AF31" s="530"/>
      <c r="AG31" s="530"/>
      <c r="AH31" s="530"/>
      <c r="AI31" s="530"/>
      <c r="AJ31" s="530"/>
      <c r="AK31" s="530"/>
      <c r="AL31" s="530"/>
      <c r="AM31" s="530"/>
      <c r="AN31" s="530"/>
      <c r="AO31" s="530"/>
      <c r="AP31" s="530"/>
      <c r="AQ31" s="530"/>
      <c r="AR31" s="530"/>
      <c r="AS31" s="530"/>
      <c r="AT31" s="530"/>
      <c r="AU31" s="530"/>
      <c r="AV31" s="530"/>
      <c r="AW31" s="530"/>
      <c r="AX31" s="530"/>
      <c r="AY31" s="530"/>
      <c r="AZ31" s="530"/>
      <c r="BA31" s="530"/>
      <c r="BB31" s="530"/>
      <c r="BC31" s="530"/>
      <c r="BD31" s="530"/>
      <c r="BE31" s="530"/>
      <c r="BF31" s="530"/>
      <c r="BG31" s="530"/>
      <c r="BH31" s="530"/>
    </row>
    <row r="32" spans="1:60" ht="14.4" customHeight="1" x14ac:dyDescent="0.3">
      <c r="A32" s="530"/>
      <c r="B32" s="530"/>
      <c r="C32" s="530"/>
      <c r="D32" s="530"/>
      <c r="E32" s="530"/>
      <c r="F32" s="530"/>
      <c r="G32" s="530"/>
      <c r="H32" s="530"/>
      <c r="I32" s="530"/>
      <c r="J32" s="530"/>
      <c r="K32" s="530"/>
      <c r="L32" s="530"/>
      <c r="M32" s="530"/>
      <c r="N32" s="530"/>
      <c r="O32" s="530"/>
      <c r="P32" s="530"/>
      <c r="Q32" s="530"/>
      <c r="R32" s="530"/>
      <c r="S32" s="530"/>
      <c r="T32" s="530"/>
      <c r="U32" s="530"/>
      <c r="V32" s="530"/>
      <c r="W32" s="530"/>
      <c r="X32" s="530"/>
      <c r="Y32" s="530"/>
      <c r="Z32" s="530"/>
      <c r="AA32" s="530"/>
      <c r="AB32" s="530"/>
      <c r="AC32" s="530"/>
      <c r="AD32" s="530"/>
      <c r="AE32" s="530"/>
      <c r="AF32" s="530"/>
      <c r="AG32" s="530"/>
      <c r="AH32" s="530"/>
      <c r="AI32" s="530"/>
      <c r="AJ32" s="530"/>
      <c r="AK32" s="530"/>
      <c r="AL32" s="530"/>
      <c r="AM32" s="530"/>
      <c r="AN32" s="530"/>
      <c r="AO32" s="530"/>
      <c r="AP32" s="530"/>
      <c r="AQ32" s="530"/>
      <c r="AR32" s="530"/>
      <c r="AS32" s="530"/>
      <c r="AT32" s="530"/>
      <c r="AU32" s="530"/>
      <c r="AV32" s="530"/>
      <c r="AW32" s="530"/>
      <c r="AX32" s="530"/>
      <c r="AY32" s="530"/>
      <c r="AZ32" s="530"/>
      <c r="BA32" s="530"/>
      <c r="BB32" s="530"/>
      <c r="BC32" s="530"/>
      <c r="BD32" s="530"/>
      <c r="BE32" s="530"/>
      <c r="BF32" s="530"/>
      <c r="BG32" s="530"/>
      <c r="BH32" s="530"/>
    </row>
    <row r="33" spans="1:60" ht="14.4" customHeight="1" x14ac:dyDescent="0.3">
      <c r="A33" s="530"/>
      <c r="B33" s="530"/>
      <c r="C33" s="530"/>
      <c r="D33" s="530"/>
      <c r="E33" s="530"/>
      <c r="F33" s="530"/>
      <c r="G33" s="530"/>
      <c r="H33" s="530"/>
      <c r="I33" s="530"/>
      <c r="J33" s="530"/>
      <c r="K33" s="530"/>
      <c r="L33" s="530"/>
      <c r="M33" s="530"/>
      <c r="N33" s="530"/>
      <c r="O33" s="530"/>
      <c r="P33" s="530"/>
      <c r="Q33" s="530"/>
      <c r="R33" s="530"/>
      <c r="S33" s="530"/>
      <c r="T33" s="530"/>
      <c r="U33" s="530"/>
      <c r="V33" s="530"/>
      <c r="W33" s="530"/>
      <c r="X33" s="530"/>
      <c r="Y33" s="530"/>
      <c r="Z33" s="530"/>
      <c r="AA33" s="530"/>
      <c r="AB33" s="530"/>
      <c r="AC33" s="530"/>
      <c r="AD33" s="530"/>
      <c r="AE33" s="530"/>
      <c r="AF33" s="530"/>
      <c r="AG33" s="530"/>
      <c r="AH33" s="530"/>
      <c r="AI33" s="530"/>
      <c r="AJ33" s="530"/>
      <c r="AK33" s="530"/>
      <c r="AL33" s="530"/>
      <c r="AM33" s="530"/>
      <c r="AN33" s="530"/>
      <c r="AO33" s="530"/>
      <c r="AP33" s="530"/>
      <c r="AQ33" s="530"/>
      <c r="AR33" s="530"/>
      <c r="AS33" s="530"/>
      <c r="AT33" s="530"/>
      <c r="AU33" s="530"/>
      <c r="AV33" s="530"/>
      <c r="AW33" s="530"/>
      <c r="AX33" s="530"/>
      <c r="AY33" s="530"/>
      <c r="AZ33" s="530"/>
      <c r="BA33" s="530"/>
      <c r="BB33" s="530"/>
      <c r="BC33" s="530"/>
      <c r="BD33" s="530"/>
      <c r="BE33" s="530"/>
      <c r="BF33" s="530"/>
      <c r="BG33" s="530"/>
      <c r="BH33" s="530"/>
    </row>
    <row r="34" spans="1:60" ht="14.4" customHeight="1" x14ac:dyDescent="0.3">
      <c r="A34" s="530"/>
      <c r="B34" s="530"/>
      <c r="C34" s="530"/>
      <c r="D34" s="530"/>
      <c r="E34" s="530"/>
      <c r="F34" s="530"/>
      <c r="G34" s="530"/>
      <c r="H34" s="530"/>
      <c r="I34" s="530"/>
      <c r="J34" s="530"/>
      <c r="K34" s="530"/>
      <c r="L34" s="530"/>
      <c r="M34" s="530"/>
      <c r="N34" s="530"/>
      <c r="O34" s="530"/>
      <c r="P34" s="530"/>
      <c r="Q34" s="530"/>
      <c r="R34" s="530"/>
      <c r="S34" s="530"/>
      <c r="T34" s="530"/>
      <c r="U34" s="530"/>
      <c r="V34" s="530"/>
      <c r="W34" s="530"/>
      <c r="X34" s="530"/>
      <c r="Y34" s="530"/>
      <c r="Z34" s="530"/>
      <c r="AA34" s="530"/>
      <c r="AB34" s="530"/>
      <c r="AC34" s="530"/>
      <c r="AD34" s="530"/>
      <c r="AE34" s="530"/>
      <c r="AF34" s="530"/>
      <c r="AG34" s="530"/>
      <c r="AH34" s="530"/>
      <c r="AI34" s="530"/>
      <c r="AJ34" s="530"/>
      <c r="AK34" s="530"/>
      <c r="AL34" s="530"/>
      <c r="AM34" s="530"/>
      <c r="AN34" s="530"/>
      <c r="AO34" s="530"/>
      <c r="AP34" s="530"/>
      <c r="AQ34" s="530"/>
      <c r="AR34" s="530"/>
      <c r="AS34" s="530"/>
      <c r="AT34" s="530"/>
      <c r="AU34" s="530"/>
      <c r="AV34" s="530"/>
      <c r="AW34" s="530"/>
      <c r="AX34" s="530"/>
      <c r="AY34" s="530"/>
      <c r="AZ34" s="530"/>
      <c r="BA34" s="530"/>
      <c r="BB34" s="530"/>
      <c r="BC34" s="530"/>
      <c r="BD34" s="530"/>
      <c r="BE34" s="530"/>
      <c r="BF34" s="530"/>
      <c r="BG34" s="530"/>
      <c r="BH34" s="530"/>
    </row>
    <row r="35" spans="1:60" ht="14.4" customHeight="1" x14ac:dyDescent="0.3">
      <c r="A35" s="530"/>
      <c r="B35" s="530"/>
      <c r="C35" s="530"/>
      <c r="D35" s="530"/>
      <c r="E35" s="530"/>
      <c r="F35" s="530"/>
      <c r="G35" s="530"/>
      <c r="H35" s="530"/>
      <c r="I35" s="530"/>
      <c r="J35" s="530"/>
      <c r="K35" s="530"/>
      <c r="L35" s="530"/>
      <c r="M35" s="530"/>
      <c r="N35" s="530"/>
      <c r="O35" s="530"/>
      <c r="P35" s="530"/>
      <c r="Q35" s="530"/>
      <c r="R35" s="530"/>
      <c r="S35" s="530"/>
      <c r="T35" s="530"/>
      <c r="U35" s="530"/>
      <c r="V35" s="530"/>
      <c r="W35" s="530"/>
      <c r="X35" s="530"/>
      <c r="Y35" s="530"/>
      <c r="Z35" s="530"/>
      <c r="AA35" s="530"/>
      <c r="AB35" s="530"/>
      <c r="AC35" s="530"/>
      <c r="AD35" s="530"/>
      <c r="AE35" s="530"/>
      <c r="AF35" s="530"/>
      <c r="AG35" s="530"/>
      <c r="AH35" s="530"/>
      <c r="AI35" s="530"/>
      <c r="AJ35" s="530"/>
      <c r="AK35" s="530"/>
      <c r="AL35" s="530"/>
      <c r="AM35" s="530"/>
      <c r="AN35" s="530"/>
      <c r="AO35" s="530"/>
      <c r="AP35" s="530"/>
      <c r="AQ35" s="530"/>
      <c r="AR35" s="530"/>
      <c r="AS35" s="530"/>
      <c r="AT35" s="530"/>
      <c r="AU35" s="530"/>
      <c r="AV35" s="530"/>
      <c r="AW35" s="530"/>
      <c r="AX35" s="530"/>
      <c r="AY35" s="530"/>
      <c r="AZ35" s="530"/>
      <c r="BA35" s="530"/>
      <c r="BB35" s="530"/>
      <c r="BC35" s="530"/>
      <c r="BD35" s="530"/>
      <c r="BE35" s="530"/>
      <c r="BF35" s="530"/>
      <c r="BG35" s="530"/>
      <c r="BH35" s="530"/>
    </row>
    <row r="36" spans="1:60" ht="14.4" customHeight="1" x14ac:dyDescent="0.3">
      <c r="A36" s="530"/>
      <c r="B36" s="530"/>
      <c r="C36" s="530"/>
      <c r="D36" s="530"/>
      <c r="E36" s="530"/>
      <c r="F36" s="530"/>
      <c r="G36" s="530"/>
      <c r="H36" s="530"/>
      <c r="I36" s="530"/>
      <c r="J36" s="530"/>
      <c r="K36" s="530"/>
      <c r="L36" s="530"/>
      <c r="M36" s="530"/>
      <c r="N36" s="530"/>
      <c r="O36" s="530"/>
      <c r="P36" s="530"/>
      <c r="Q36" s="530"/>
      <c r="R36" s="530"/>
      <c r="S36" s="530"/>
      <c r="T36" s="530"/>
      <c r="U36" s="530"/>
      <c r="V36" s="530"/>
      <c r="W36" s="530"/>
      <c r="X36" s="530"/>
      <c r="Y36" s="530"/>
      <c r="Z36" s="530"/>
      <c r="AA36" s="530"/>
      <c r="AB36" s="530"/>
      <c r="AC36" s="530"/>
      <c r="AD36" s="530"/>
      <c r="AE36" s="530"/>
      <c r="AF36" s="530"/>
      <c r="AG36" s="530"/>
      <c r="AH36" s="530"/>
      <c r="AI36" s="530"/>
      <c r="AJ36" s="530"/>
      <c r="AK36" s="530"/>
      <c r="AL36" s="530"/>
      <c r="AM36" s="530"/>
      <c r="AN36" s="530"/>
      <c r="AO36" s="530"/>
      <c r="AP36" s="530"/>
      <c r="AQ36" s="530"/>
      <c r="AR36" s="530"/>
      <c r="AS36" s="530"/>
      <c r="AT36" s="530"/>
      <c r="AU36" s="530"/>
      <c r="AV36" s="530"/>
      <c r="AW36" s="530"/>
      <c r="AX36" s="530"/>
      <c r="AY36" s="530"/>
      <c r="AZ36" s="530"/>
      <c r="BA36" s="530"/>
      <c r="BB36" s="530"/>
      <c r="BC36" s="530"/>
      <c r="BD36" s="530"/>
      <c r="BE36" s="530"/>
      <c r="BF36" s="530"/>
      <c r="BG36" s="530"/>
      <c r="BH36" s="530"/>
    </row>
    <row r="37" spans="1:60" ht="14.4" customHeight="1" x14ac:dyDescent="0.3">
      <c r="A37" s="530"/>
      <c r="B37" s="530"/>
      <c r="C37" s="530"/>
      <c r="D37" s="530"/>
      <c r="E37" s="530"/>
      <c r="F37" s="530"/>
      <c r="G37" s="530"/>
      <c r="H37" s="530"/>
      <c r="I37" s="530"/>
      <c r="J37" s="530"/>
      <c r="K37" s="530"/>
      <c r="L37" s="530"/>
      <c r="M37" s="530"/>
      <c r="N37" s="530"/>
      <c r="O37" s="530"/>
      <c r="P37" s="530"/>
      <c r="Q37" s="530"/>
      <c r="R37" s="530"/>
      <c r="S37" s="530"/>
      <c r="T37" s="530"/>
      <c r="U37" s="530"/>
      <c r="V37" s="530"/>
      <c r="W37" s="530"/>
      <c r="X37" s="530"/>
      <c r="Y37" s="530"/>
      <c r="Z37" s="530"/>
      <c r="AA37" s="530"/>
      <c r="AB37" s="530"/>
      <c r="AC37" s="530"/>
      <c r="AD37" s="530"/>
      <c r="AE37" s="530"/>
      <c r="AF37" s="530"/>
      <c r="AG37" s="530"/>
      <c r="AH37" s="530"/>
      <c r="AI37" s="530"/>
      <c r="AJ37" s="530"/>
      <c r="AK37" s="530"/>
      <c r="AL37" s="530"/>
      <c r="AM37" s="530"/>
      <c r="AN37" s="530"/>
      <c r="AO37" s="530"/>
      <c r="AP37" s="530"/>
      <c r="AQ37" s="530"/>
      <c r="AR37" s="530"/>
      <c r="AS37" s="530"/>
      <c r="AT37" s="530"/>
      <c r="AU37" s="530"/>
      <c r="AV37" s="530"/>
      <c r="AW37" s="530"/>
      <c r="AX37" s="530"/>
      <c r="AY37" s="530"/>
      <c r="AZ37" s="530"/>
      <c r="BA37" s="530"/>
      <c r="BB37" s="530"/>
      <c r="BC37" s="530"/>
      <c r="BD37" s="530"/>
      <c r="BE37" s="530"/>
      <c r="BF37" s="530"/>
      <c r="BG37" s="530"/>
      <c r="BH37" s="530"/>
    </row>
    <row r="38" spans="1:60" ht="14.4" customHeight="1" x14ac:dyDescent="0.3">
      <c r="A38" s="530"/>
      <c r="B38" s="530"/>
      <c r="C38" s="530"/>
      <c r="D38" s="530"/>
      <c r="E38" s="530"/>
      <c r="F38" s="530"/>
      <c r="G38" s="530"/>
      <c r="H38" s="530"/>
      <c r="I38" s="530"/>
      <c r="J38" s="530"/>
      <c r="K38" s="530"/>
      <c r="L38" s="530"/>
      <c r="M38" s="530"/>
      <c r="N38" s="530"/>
      <c r="O38" s="530"/>
      <c r="P38" s="530"/>
      <c r="Q38" s="530"/>
      <c r="R38" s="530"/>
      <c r="S38" s="530"/>
      <c r="T38" s="530"/>
      <c r="U38" s="530"/>
      <c r="V38" s="530"/>
      <c r="W38" s="530"/>
      <c r="X38" s="530"/>
      <c r="Y38" s="530"/>
      <c r="Z38" s="530"/>
      <c r="AA38" s="530"/>
      <c r="AB38" s="530"/>
      <c r="AC38" s="530"/>
      <c r="AD38" s="530"/>
      <c r="AE38" s="530"/>
      <c r="AF38" s="530"/>
      <c r="AG38" s="530"/>
      <c r="AH38" s="530"/>
      <c r="AI38" s="530"/>
      <c r="AJ38" s="530"/>
      <c r="AK38" s="530"/>
      <c r="AL38" s="530"/>
      <c r="AM38" s="530"/>
      <c r="AN38" s="530"/>
      <c r="AO38" s="530"/>
      <c r="AP38" s="530"/>
      <c r="AQ38" s="530"/>
      <c r="AR38" s="530"/>
      <c r="AS38" s="530"/>
      <c r="AT38" s="530"/>
      <c r="AU38" s="530"/>
      <c r="AV38" s="530"/>
      <c r="AW38" s="530"/>
      <c r="AX38" s="530"/>
      <c r="AY38" s="530"/>
      <c r="AZ38" s="530"/>
      <c r="BA38" s="530"/>
      <c r="BB38" s="530"/>
      <c r="BC38" s="530"/>
      <c r="BD38" s="530"/>
      <c r="BE38" s="530"/>
      <c r="BF38" s="530"/>
      <c r="BG38" s="530"/>
      <c r="BH38" s="530"/>
    </row>
    <row r="39" spans="1:60" ht="14.4" customHeight="1" x14ac:dyDescent="0.3">
      <c r="A39" s="530"/>
      <c r="B39" s="530"/>
      <c r="C39" s="530"/>
      <c r="D39" s="530"/>
      <c r="E39" s="530"/>
      <c r="F39" s="530"/>
      <c r="G39" s="530"/>
      <c r="H39" s="530"/>
      <c r="I39" s="530"/>
      <c r="J39" s="530"/>
      <c r="K39" s="530"/>
      <c r="L39" s="530"/>
      <c r="M39" s="530"/>
      <c r="N39" s="530"/>
      <c r="O39" s="530"/>
      <c r="P39" s="530"/>
      <c r="Q39" s="530"/>
      <c r="R39" s="530"/>
      <c r="S39" s="530"/>
      <c r="T39" s="530"/>
      <c r="U39" s="530"/>
      <c r="V39" s="530"/>
      <c r="W39" s="530"/>
      <c r="X39" s="530"/>
      <c r="Y39" s="530"/>
      <c r="Z39" s="530"/>
      <c r="AA39" s="530"/>
      <c r="AB39" s="530"/>
      <c r="AC39" s="530"/>
      <c r="AD39" s="530"/>
      <c r="AE39" s="530"/>
      <c r="AF39" s="530"/>
      <c r="AG39" s="530"/>
      <c r="AH39" s="530"/>
      <c r="AI39" s="530"/>
      <c r="AJ39" s="530"/>
      <c r="AK39" s="530"/>
      <c r="AL39" s="530"/>
      <c r="AM39" s="530"/>
      <c r="AN39" s="530"/>
      <c r="AO39" s="530"/>
      <c r="AP39" s="530"/>
      <c r="AQ39" s="530"/>
      <c r="AR39" s="530"/>
      <c r="AS39" s="530"/>
      <c r="AT39" s="530"/>
      <c r="AU39" s="530"/>
      <c r="AV39" s="530"/>
      <c r="AW39" s="530"/>
      <c r="AX39" s="530"/>
      <c r="AY39" s="530"/>
      <c r="AZ39" s="530"/>
      <c r="BA39" s="530"/>
      <c r="BB39" s="530"/>
      <c r="BC39" s="530"/>
      <c r="BD39" s="530"/>
      <c r="BE39" s="530"/>
      <c r="BF39" s="530"/>
      <c r="BG39" s="530"/>
      <c r="BH39" s="530"/>
    </row>
    <row r="40" spans="1:60" ht="14.4" customHeight="1" x14ac:dyDescent="0.3">
      <c r="A40" s="530"/>
      <c r="B40" s="530"/>
      <c r="C40" s="530"/>
      <c r="D40" s="530"/>
      <c r="E40" s="530"/>
      <c r="F40" s="530"/>
      <c r="G40" s="530"/>
      <c r="H40" s="530"/>
      <c r="I40" s="530"/>
      <c r="J40" s="530"/>
      <c r="K40" s="530"/>
      <c r="L40" s="530"/>
      <c r="M40" s="530"/>
      <c r="N40" s="530"/>
      <c r="O40" s="530"/>
      <c r="P40" s="530"/>
      <c r="Q40" s="530"/>
      <c r="R40" s="530"/>
      <c r="S40" s="530"/>
      <c r="T40" s="530"/>
      <c r="U40" s="530"/>
      <c r="V40" s="530"/>
      <c r="W40" s="530"/>
      <c r="X40" s="530"/>
      <c r="Y40" s="530"/>
      <c r="Z40" s="530"/>
      <c r="AA40" s="530"/>
      <c r="AB40" s="530"/>
      <c r="AC40" s="530"/>
      <c r="AD40" s="530"/>
      <c r="AE40" s="530"/>
      <c r="AF40" s="530"/>
      <c r="AG40" s="530"/>
      <c r="AH40" s="530"/>
      <c r="AI40" s="530"/>
      <c r="AJ40" s="530"/>
      <c r="AK40" s="530"/>
      <c r="AL40" s="530"/>
      <c r="AM40" s="530"/>
      <c r="AN40" s="530"/>
      <c r="AO40" s="530"/>
      <c r="AP40" s="530"/>
      <c r="AQ40" s="530"/>
      <c r="AR40" s="530"/>
      <c r="AS40" s="530"/>
      <c r="AT40" s="530"/>
      <c r="AU40" s="530"/>
      <c r="AV40" s="530"/>
      <c r="AW40" s="530"/>
      <c r="AX40" s="530"/>
      <c r="AY40" s="530"/>
      <c r="AZ40" s="530"/>
      <c r="BA40" s="530"/>
      <c r="BB40" s="530"/>
      <c r="BC40" s="530"/>
      <c r="BD40" s="530"/>
      <c r="BE40" s="530"/>
      <c r="BF40" s="530"/>
      <c r="BG40" s="530"/>
      <c r="BH40" s="530"/>
    </row>
    <row r="41" spans="1:60" ht="14.4" customHeight="1" x14ac:dyDescent="0.3">
      <c r="A41" s="530"/>
      <c r="B41" s="530"/>
      <c r="C41" s="530"/>
      <c r="D41" s="530"/>
      <c r="E41" s="530"/>
      <c r="F41" s="530"/>
      <c r="G41" s="530"/>
      <c r="H41" s="530"/>
      <c r="I41" s="530"/>
      <c r="J41" s="530"/>
      <c r="K41" s="530"/>
      <c r="L41" s="530"/>
      <c r="M41" s="530"/>
      <c r="N41" s="530"/>
      <c r="O41" s="530"/>
      <c r="P41" s="530"/>
      <c r="Q41" s="530"/>
      <c r="R41" s="530"/>
      <c r="S41" s="530"/>
      <c r="T41" s="530"/>
      <c r="U41" s="530"/>
      <c r="V41" s="530"/>
      <c r="W41" s="530"/>
      <c r="X41" s="530"/>
      <c r="Y41" s="530"/>
      <c r="Z41" s="530"/>
      <c r="AA41" s="530"/>
      <c r="AB41" s="530"/>
      <c r="AC41" s="530"/>
      <c r="AD41" s="530"/>
      <c r="AE41" s="530"/>
      <c r="AF41" s="530"/>
      <c r="AG41" s="530"/>
      <c r="AH41" s="530"/>
      <c r="AI41" s="530"/>
      <c r="AJ41" s="530"/>
      <c r="AK41" s="530"/>
      <c r="AL41" s="530"/>
      <c r="AM41" s="530"/>
      <c r="AN41" s="530"/>
      <c r="AO41" s="530"/>
      <c r="AP41" s="530"/>
      <c r="AQ41" s="530"/>
      <c r="AR41" s="530"/>
      <c r="AS41" s="530"/>
      <c r="AT41" s="530"/>
      <c r="AU41" s="530"/>
      <c r="AV41" s="530"/>
      <c r="AW41" s="530"/>
      <c r="AX41" s="530"/>
      <c r="AY41" s="530"/>
      <c r="AZ41" s="530"/>
      <c r="BA41" s="530"/>
      <c r="BB41" s="530"/>
      <c r="BC41" s="530"/>
      <c r="BD41" s="530"/>
      <c r="BE41" s="530"/>
      <c r="BF41" s="530"/>
      <c r="BG41" s="530"/>
      <c r="BH41" s="530"/>
    </row>
    <row r="42" spans="1:60" ht="14.4" customHeight="1" x14ac:dyDescent="0.3">
      <c r="A42" s="530"/>
      <c r="B42" s="530"/>
      <c r="C42" s="530"/>
      <c r="D42" s="530"/>
      <c r="E42" s="530"/>
      <c r="F42" s="530"/>
      <c r="G42" s="530"/>
      <c r="H42" s="530"/>
      <c r="I42" s="530"/>
      <c r="J42" s="530"/>
      <c r="K42" s="530"/>
      <c r="L42" s="530"/>
      <c r="M42" s="530"/>
      <c r="N42" s="530"/>
      <c r="O42" s="530"/>
      <c r="P42" s="530"/>
      <c r="Q42" s="530"/>
      <c r="R42" s="530"/>
      <c r="S42" s="530"/>
      <c r="T42" s="530"/>
      <c r="U42" s="530"/>
      <c r="V42" s="530"/>
      <c r="W42" s="530"/>
      <c r="X42" s="530"/>
      <c r="Y42" s="530"/>
      <c r="Z42" s="530"/>
      <c r="AA42" s="530"/>
      <c r="AB42" s="530"/>
      <c r="AC42" s="530"/>
      <c r="AD42" s="530"/>
      <c r="AE42" s="530"/>
      <c r="AF42" s="530"/>
      <c r="AG42" s="530"/>
      <c r="AH42" s="530"/>
      <c r="AI42" s="530"/>
      <c r="AJ42" s="530"/>
      <c r="AK42" s="530"/>
      <c r="AL42" s="530"/>
      <c r="AM42" s="530"/>
      <c r="AN42" s="530"/>
      <c r="AO42" s="530"/>
      <c r="AP42" s="530"/>
      <c r="AQ42" s="530"/>
      <c r="AR42" s="530"/>
      <c r="AS42" s="530"/>
      <c r="AT42" s="530"/>
      <c r="AU42" s="530"/>
      <c r="AV42" s="530"/>
      <c r="AW42" s="530"/>
      <c r="AX42" s="530"/>
      <c r="AY42" s="530"/>
      <c r="AZ42" s="530"/>
      <c r="BA42" s="530"/>
      <c r="BB42" s="530"/>
      <c r="BC42" s="530"/>
      <c r="BD42" s="530"/>
      <c r="BE42" s="530"/>
      <c r="BF42" s="530"/>
      <c r="BG42" s="530"/>
      <c r="BH42" s="530"/>
    </row>
    <row r="43" spans="1:60" ht="14.4" customHeight="1" x14ac:dyDescent="0.3">
      <c r="A43" s="530"/>
      <c r="B43" s="530"/>
      <c r="C43" s="530"/>
      <c r="D43" s="530"/>
      <c r="E43" s="530"/>
      <c r="F43" s="530"/>
      <c r="G43" s="530"/>
      <c r="H43" s="530"/>
      <c r="I43" s="530"/>
      <c r="J43" s="530"/>
      <c r="K43" s="530"/>
      <c r="L43" s="530"/>
      <c r="M43" s="530"/>
      <c r="N43" s="530"/>
      <c r="O43" s="530"/>
      <c r="P43" s="530"/>
      <c r="Q43" s="530"/>
      <c r="R43" s="530"/>
      <c r="S43" s="530"/>
      <c r="T43" s="530"/>
      <c r="U43" s="530"/>
      <c r="V43" s="530"/>
      <c r="W43" s="530"/>
      <c r="X43" s="530"/>
      <c r="Y43" s="530"/>
      <c r="Z43" s="530"/>
      <c r="AA43" s="530"/>
      <c r="AB43" s="530"/>
      <c r="AC43" s="530"/>
      <c r="AD43" s="530"/>
      <c r="AE43" s="530"/>
      <c r="AF43" s="530"/>
      <c r="AG43" s="530"/>
      <c r="AH43" s="530"/>
      <c r="AI43" s="530"/>
      <c r="AJ43" s="530"/>
      <c r="AK43" s="530"/>
      <c r="AL43" s="530"/>
      <c r="AM43" s="530"/>
      <c r="AN43" s="530"/>
      <c r="AO43" s="530"/>
      <c r="AP43" s="530"/>
      <c r="AQ43" s="530"/>
      <c r="AR43" s="530"/>
      <c r="AS43" s="530"/>
      <c r="AT43" s="530"/>
      <c r="AU43" s="530"/>
      <c r="AV43" s="530"/>
      <c r="AW43" s="530"/>
      <c r="AX43" s="530"/>
      <c r="AY43" s="530"/>
      <c r="AZ43" s="530"/>
      <c r="BA43" s="530"/>
      <c r="BB43" s="530"/>
      <c r="BC43" s="530"/>
      <c r="BD43" s="530"/>
      <c r="BE43" s="530"/>
      <c r="BF43" s="530"/>
      <c r="BG43" s="530"/>
      <c r="BH43" s="530"/>
    </row>
    <row r="44" spans="1:60" ht="14.4" customHeight="1" x14ac:dyDescent="0.3">
      <c r="A44" s="530"/>
      <c r="B44" s="530"/>
      <c r="C44" s="530"/>
      <c r="D44" s="530"/>
      <c r="E44" s="530"/>
      <c r="F44" s="530"/>
      <c r="G44" s="530"/>
      <c r="H44" s="530"/>
      <c r="I44" s="530"/>
      <c r="J44" s="530"/>
      <c r="K44" s="530"/>
      <c r="L44" s="530"/>
      <c r="M44" s="530"/>
      <c r="N44" s="530"/>
      <c r="O44" s="530"/>
      <c r="P44" s="530"/>
      <c r="Q44" s="530"/>
      <c r="R44" s="530"/>
      <c r="S44" s="530"/>
      <c r="T44" s="530"/>
      <c r="U44" s="530"/>
      <c r="V44" s="530"/>
      <c r="W44" s="530"/>
      <c r="X44" s="530"/>
      <c r="Y44" s="530"/>
      <c r="Z44" s="530"/>
      <c r="AA44" s="530"/>
      <c r="AB44" s="530"/>
      <c r="AC44" s="530"/>
      <c r="AD44" s="530"/>
      <c r="AE44" s="530"/>
      <c r="AF44" s="530"/>
      <c r="AG44" s="530"/>
      <c r="AH44" s="530"/>
      <c r="AI44" s="530"/>
      <c r="AJ44" s="530"/>
      <c r="AK44" s="530"/>
      <c r="AL44" s="530"/>
      <c r="AM44" s="530"/>
      <c r="AN44" s="530"/>
      <c r="AO44" s="530"/>
      <c r="AP44" s="530"/>
      <c r="AQ44" s="530"/>
      <c r="AR44" s="530"/>
      <c r="AS44" s="530"/>
      <c r="AT44" s="530"/>
      <c r="AU44" s="530"/>
      <c r="AV44" s="530"/>
      <c r="AW44" s="530"/>
      <c r="AX44" s="530"/>
      <c r="AY44" s="530"/>
      <c r="AZ44" s="530"/>
      <c r="BA44" s="530"/>
      <c r="BB44" s="530"/>
      <c r="BC44" s="530"/>
      <c r="BD44" s="530"/>
      <c r="BE44" s="530"/>
      <c r="BF44" s="530"/>
      <c r="BG44" s="530"/>
      <c r="BH44" s="530"/>
    </row>
    <row r="45" spans="1:60" ht="14.4" customHeight="1" x14ac:dyDescent="0.3">
      <c r="A45" s="530"/>
      <c r="B45" s="530"/>
      <c r="C45" s="530"/>
      <c r="D45" s="530"/>
      <c r="E45" s="530"/>
      <c r="F45" s="530"/>
      <c r="G45" s="530"/>
      <c r="H45" s="530"/>
      <c r="I45" s="530"/>
      <c r="J45" s="530"/>
      <c r="K45" s="530"/>
      <c r="L45" s="530"/>
      <c r="M45" s="530"/>
      <c r="N45" s="530"/>
      <c r="O45" s="530"/>
      <c r="P45" s="530"/>
      <c r="Q45" s="530"/>
      <c r="R45" s="530"/>
      <c r="S45" s="530"/>
      <c r="T45" s="530"/>
      <c r="U45" s="530"/>
      <c r="V45" s="530"/>
      <c r="W45" s="530"/>
      <c r="X45" s="530"/>
      <c r="Y45" s="530"/>
      <c r="Z45" s="530"/>
      <c r="AA45" s="530"/>
      <c r="AB45" s="530"/>
      <c r="AC45" s="530"/>
      <c r="AD45" s="530"/>
      <c r="AE45" s="530"/>
      <c r="AF45" s="530"/>
      <c r="AG45" s="530"/>
      <c r="AH45" s="530"/>
      <c r="AI45" s="530"/>
      <c r="AJ45" s="530"/>
      <c r="AK45" s="530"/>
      <c r="AL45" s="530"/>
      <c r="AM45" s="530"/>
      <c r="AN45" s="530"/>
      <c r="AO45" s="530"/>
      <c r="AP45" s="530"/>
      <c r="AQ45" s="530"/>
      <c r="AR45" s="530"/>
      <c r="AS45" s="530"/>
      <c r="AT45" s="530"/>
      <c r="AU45" s="530"/>
      <c r="AV45" s="530"/>
      <c r="AW45" s="530"/>
      <c r="AX45" s="530"/>
      <c r="AY45" s="530"/>
      <c r="AZ45" s="530"/>
      <c r="BA45" s="530"/>
      <c r="BB45" s="530"/>
      <c r="BC45" s="530"/>
      <c r="BD45" s="530"/>
      <c r="BE45" s="530"/>
      <c r="BF45" s="530"/>
      <c r="BG45" s="530"/>
      <c r="BH45" s="530"/>
    </row>
    <row r="46" spans="1:60" ht="14.4" customHeight="1" x14ac:dyDescent="0.3">
      <c r="A46" s="530"/>
      <c r="B46" s="530"/>
      <c r="C46" s="530"/>
      <c r="D46" s="530"/>
      <c r="E46" s="530"/>
      <c r="F46" s="530"/>
      <c r="G46" s="530"/>
      <c r="H46" s="530"/>
      <c r="I46" s="530"/>
      <c r="J46" s="530"/>
      <c r="K46" s="530"/>
      <c r="L46" s="530"/>
      <c r="M46" s="530"/>
      <c r="N46" s="530"/>
      <c r="O46" s="530"/>
      <c r="P46" s="530"/>
      <c r="Q46" s="530"/>
      <c r="R46" s="530"/>
      <c r="S46" s="530"/>
      <c r="T46" s="530"/>
      <c r="U46" s="530"/>
      <c r="V46" s="530"/>
      <c r="W46" s="530"/>
      <c r="X46" s="530"/>
      <c r="Y46" s="530"/>
      <c r="Z46" s="530"/>
      <c r="AA46" s="530"/>
      <c r="AB46" s="530"/>
      <c r="AC46" s="530"/>
      <c r="AD46" s="530"/>
      <c r="AE46" s="530"/>
      <c r="AF46" s="530"/>
      <c r="AG46" s="530"/>
      <c r="AH46" s="530"/>
      <c r="AI46" s="530"/>
      <c r="AJ46" s="530"/>
      <c r="AK46" s="530"/>
      <c r="AL46" s="530"/>
      <c r="AM46" s="530"/>
      <c r="AN46" s="530"/>
      <c r="AO46" s="530"/>
      <c r="AP46" s="530"/>
      <c r="AQ46" s="530"/>
      <c r="AR46" s="530"/>
      <c r="AS46" s="530"/>
      <c r="AT46" s="530"/>
      <c r="AU46" s="530"/>
      <c r="AV46" s="530"/>
      <c r="AW46" s="530"/>
      <c r="AX46" s="530"/>
      <c r="AY46" s="530"/>
      <c r="AZ46" s="530"/>
      <c r="BA46" s="530"/>
      <c r="BB46" s="530"/>
      <c r="BC46" s="530"/>
      <c r="BD46" s="530"/>
      <c r="BE46" s="530"/>
      <c r="BF46" s="530"/>
      <c r="BG46" s="530"/>
      <c r="BH46" s="530"/>
    </row>
    <row r="47" spans="1:60" ht="14.4" customHeight="1" x14ac:dyDescent="0.3">
      <c r="A47" s="530"/>
      <c r="B47" s="530"/>
      <c r="C47" s="530"/>
      <c r="D47" s="530"/>
      <c r="E47" s="530"/>
      <c r="F47" s="530"/>
      <c r="G47" s="530"/>
      <c r="H47" s="530"/>
      <c r="I47" s="530"/>
      <c r="J47" s="530"/>
      <c r="K47" s="530"/>
      <c r="L47" s="530"/>
      <c r="M47" s="530"/>
      <c r="N47" s="530"/>
      <c r="O47" s="530"/>
      <c r="P47" s="530"/>
      <c r="Q47" s="530"/>
      <c r="R47" s="530"/>
      <c r="S47" s="530"/>
      <c r="T47" s="530"/>
      <c r="U47" s="530"/>
      <c r="V47" s="530"/>
      <c r="W47" s="530"/>
      <c r="X47" s="530"/>
      <c r="Y47" s="530"/>
      <c r="Z47" s="530"/>
      <c r="AA47" s="530"/>
      <c r="AB47" s="530"/>
      <c r="AC47" s="530"/>
      <c r="AD47" s="530"/>
      <c r="AE47" s="530"/>
      <c r="AF47" s="530"/>
      <c r="AG47" s="530"/>
      <c r="AH47" s="530"/>
      <c r="AI47" s="530"/>
      <c r="AJ47" s="530"/>
      <c r="AK47" s="530"/>
      <c r="AL47" s="530"/>
      <c r="AM47" s="530"/>
      <c r="AN47" s="530"/>
      <c r="AO47" s="530"/>
      <c r="AP47" s="530"/>
      <c r="AQ47" s="530"/>
      <c r="AR47" s="530"/>
      <c r="AS47" s="530"/>
      <c r="AT47" s="530"/>
      <c r="AU47" s="530"/>
      <c r="AV47" s="530"/>
      <c r="AW47" s="530"/>
      <c r="AX47" s="530"/>
      <c r="AY47" s="530"/>
      <c r="AZ47" s="530"/>
      <c r="BA47" s="530"/>
      <c r="BB47" s="530"/>
      <c r="BC47" s="530"/>
      <c r="BD47" s="530"/>
      <c r="BE47" s="530"/>
      <c r="BF47" s="530"/>
      <c r="BG47" s="530"/>
      <c r="BH47" s="530"/>
    </row>
    <row r="48" spans="1:60" ht="14.4" customHeight="1" x14ac:dyDescent="0.3">
      <c r="A48" s="530"/>
      <c r="B48" s="530"/>
      <c r="C48" s="530"/>
      <c r="D48" s="530"/>
      <c r="E48" s="530"/>
      <c r="F48" s="530"/>
      <c r="G48" s="530"/>
      <c r="H48" s="530"/>
      <c r="I48" s="530"/>
      <c r="J48" s="530"/>
      <c r="K48" s="530"/>
      <c r="L48" s="530"/>
      <c r="M48" s="530"/>
      <c r="N48" s="530"/>
      <c r="O48" s="530"/>
      <c r="P48" s="530"/>
      <c r="Q48" s="530"/>
      <c r="R48" s="530"/>
      <c r="S48" s="530"/>
      <c r="T48" s="530"/>
      <c r="U48" s="530"/>
      <c r="V48" s="530"/>
      <c r="W48" s="530"/>
      <c r="X48" s="530"/>
      <c r="Y48" s="530"/>
      <c r="Z48" s="530"/>
      <c r="AA48" s="530"/>
      <c r="AB48" s="530"/>
      <c r="AC48" s="530"/>
      <c r="AD48" s="530"/>
      <c r="AE48" s="530"/>
      <c r="AF48" s="530"/>
      <c r="AG48" s="530"/>
      <c r="AH48" s="530"/>
      <c r="AI48" s="530"/>
      <c r="AJ48" s="530"/>
      <c r="AK48" s="530"/>
      <c r="AL48" s="530"/>
      <c r="AM48" s="530"/>
      <c r="AN48" s="530"/>
      <c r="AO48" s="530"/>
      <c r="AP48" s="530"/>
      <c r="AQ48" s="530"/>
      <c r="AR48" s="530"/>
      <c r="AS48" s="530"/>
      <c r="AT48" s="530"/>
      <c r="AU48" s="530"/>
      <c r="AV48" s="530"/>
      <c r="AW48" s="530"/>
      <c r="AX48" s="530"/>
      <c r="AY48" s="530"/>
      <c r="AZ48" s="530"/>
      <c r="BA48" s="530"/>
      <c r="BB48" s="530"/>
      <c r="BC48" s="530"/>
      <c r="BD48" s="530"/>
      <c r="BE48" s="530"/>
      <c r="BF48" s="530"/>
      <c r="BG48" s="530"/>
      <c r="BH48" s="530"/>
    </row>
    <row r="49" spans="1:60" ht="14.4" customHeight="1" x14ac:dyDescent="0.3">
      <c r="A49" s="530"/>
      <c r="B49" s="530"/>
      <c r="C49" s="530"/>
      <c r="D49" s="530"/>
      <c r="E49" s="530"/>
      <c r="F49" s="530"/>
      <c r="G49" s="530"/>
      <c r="H49" s="530"/>
      <c r="I49" s="530"/>
      <c r="J49" s="530"/>
      <c r="K49" s="530"/>
      <c r="L49" s="530"/>
      <c r="M49" s="530"/>
      <c r="N49" s="530"/>
      <c r="O49" s="530"/>
      <c r="P49" s="530"/>
      <c r="Q49" s="530"/>
      <c r="R49" s="530"/>
      <c r="S49" s="530"/>
      <c r="T49" s="530"/>
      <c r="U49" s="530"/>
      <c r="V49" s="530"/>
      <c r="W49" s="530"/>
      <c r="X49" s="530"/>
      <c r="Y49" s="530"/>
      <c r="Z49" s="530"/>
      <c r="AA49" s="530"/>
      <c r="AB49" s="530"/>
      <c r="AC49" s="530"/>
      <c r="AD49" s="530"/>
      <c r="AE49" s="530"/>
      <c r="AF49" s="530"/>
      <c r="AG49" s="530"/>
      <c r="AH49" s="530"/>
      <c r="AI49" s="530"/>
      <c r="AJ49" s="530"/>
      <c r="AK49" s="530"/>
      <c r="AL49" s="530"/>
      <c r="AM49" s="530"/>
      <c r="AN49" s="530"/>
      <c r="AO49" s="530"/>
      <c r="AP49" s="530"/>
      <c r="AQ49" s="530"/>
      <c r="AR49" s="530"/>
      <c r="AS49" s="530"/>
      <c r="AT49" s="530"/>
      <c r="AU49" s="530"/>
      <c r="AV49" s="530"/>
      <c r="AW49" s="530"/>
      <c r="AX49" s="530"/>
      <c r="AY49" s="530"/>
      <c r="AZ49" s="530"/>
      <c r="BA49" s="530"/>
      <c r="BB49" s="530"/>
      <c r="BC49" s="530"/>
      <c r="BD49" s="530"/>
      <c r="BE49" s="530"/>
      <c r="BF49" s="530"/>
      <c r="BG49" s="530"/>
      <c r="BH49" s="530"/>
    </row>
    <row r="50" spans="1:60" ht="14.4" customHeight="1" x14ac:dyDescent="0.3">
      <c r="A50" s="530"/>
      <c r="B50" s="530"/>
      <c r="C50" s="530"/>
      <c r="D50" s="530"/>
      <c r="E50" s="530"/>
      <c r="F50" s="530"/>
      <c r="G50" s="530"/>
      <c r="H50" s="530"/>
      <c r="I50" s="530"/>
      <c r="J50" s="530"/>
      <c r="K50" s="530"/>
      <c r="L50" s="530"/>
      <c r="M50" s="530"/>
      <c r="N50" s="530"/>
      <c r="O50" s="530"/>
      <c r="P50" s="530"/>
      <c r="Q50" s="530"/>
      <c r="R50" s="530"/>
      <c r="S50" s="530"/>
      <c r="T50" s="530"/>
      <c r="U50" s="530"/>
      <c r="V50" s="530"/>
      <c r="W50" s="530"/>
      <c r="X50" s="530"/>
      <c r="Y50" s="530"/>
      <c r="Z50" s="530"/>
      <c r="AA50" s="530"/>
      <c r="AB50" s="530"/>
      <c r="AC50" s="530"/>
      <c r="AD50" s="530"/>
      <c r="AE50" s="530"/>
      <c r="AF50" s="530"/>
      <c r="AG50" s="530"/>
      <c r="AH50" s="530"/>
      <c r="AI50" s="530"/>
      <c r="AJ50" s="530"/>
      <c r="AK50" s="530"/>
      <c r="AL50" s="530"/>
      <c r="AM50" s="530"/>
      <c r="AN50" s="530"/>
      <c r="AO50" s="530"/>
      <c r="AP50" s="530"/>
      <c r="AQ50" s="530"/>
      <c r="AR50" s="530"/>
      <c r="AS50" s="530"/>
      <c r="AT50" s="530"/>
      <c r="AU50" s="530"/>
      <c r="AV50" s="530"/>
      <c r="AW50" s="530"/>
      <c r="AX50" s="530"/>
      <c r="AY50" s="530"/>
      <c r="AZ50" s="530"/>
      <c r="BA50" s="530"/>
      <c r="BB50" s="530"/>
      <c r="BC50" s="530"/>
      <c r="BD50" s="530"/>
      <c r="BE50" s="530"/>
      <c r="BF50" s="530"/>
      <c r="BG50" s="530"/>
      <c r="BH50" s="530"/>
    </row>
    <row r="51" spans="1:60" ht="14.4" customHeight="1" x14ac:dyDescent="0.3">
      <c r="A51" s="530"/>
      <c r="B51" s="530"/>
      <c r="C51" s="530"/>
      <c r="D51" s="530"/>
      <c r="E51" s="530"/>
      <c r="F51" s="530"/>
      <c r="G51" s="530"/>
      <c r="H51" s="530"/>
      <c r="I51" s="530"/>
      <c r="J51" s="530"/>
      <c r="K51" s="530"/>
      <c r="L51" s="530"/>
      <c r="M51" s="530"/>
      <c r="N51" s="530"/>
      <c r="O51" s="530"/>
      <c r="P51" s="530"/>
      <c r="Q51" s="530"/>
      <c r="R51" s="530"/>
      <c r="S51" s="530"/>
      <c r="T51" s="530"/>
      <c r="U51" s="530"/>
      <c r="V51" s="530"/>
      <c r="W51" s="530"/>
      <c r="X51" s="530"/>
      <c r="Y51" s="530"/>
      <c r="Z51" s="530"/>
      <c r="AA51" s="530"/>
      <c r="AB51" s="530"/>
      <c r="AC51" s="530"/>
      <c r="AD51" s="530"/>
      <c r="AE51" s="530"/>
      <c r="AF51" s="530"/>
      <c r="AG51" s="530"/>
      <c r="AH51" s="530"/>
      <c r="AI51" s="530"/>
      <c r="AJ51" s="530"/>
      <c r="AK51" s="530"/>
      <c r="AL51" s="530"/>
      <c r="AM51" s="530"/>
      <c r="AN51" s="530"/>
      <c r="AO51" s="530"/>
      <c r="AP51" s="530"/>
      <c r="AQ51" s="530"/>
      <c r="AR51" s="530"/>
      <c r="AS51" s="530"/>
      <c r="AT51" s="530"/>
      <c r="AU51" s="530"/>
      <c r="AV51" s="530"/>
      <c r="AW51" s="530"/>
      <c r="AX51" s="530"/>
      <c r="AY51" s="530"/>
      <c r="AZ51" s="530"/>
      <c r="BA51" s="530"/>
      <c r="BB51" s="530"/>
      <c r="BC51" s="530"/>
      <c r="BD51" s="530"/>
      <c r="BE51" s="530"/>
      <c r="BF51" s="530"/>
      <c r="BG51" s="530"/>
      <c r="BH51" s="530"/>
    </row>
    <row r="52" spans="1:60" ht="14.4" customHeight="1" x14ac:dyDescent="0.3">
      <c r="A52" s="530"/>
      <c r="B52" s="530"/>
      <c r="C52" s="530"/>
      <c r="D52" s="530"/>
      <c r="E52" s="530"/>
      <c r="F52" s="530"/>
      <c r="G52" s="530"/>
      <c r="H52" s="530"/>
      <c r="I52" s="530"/>
      <c r="J52" s="530"/>
      <c r="K52" s="530"/>
      <c r="L52" s="530"/>
      <c r="M52" s="530"/>
      <c r="N52" s="530"/>
      <c r="O52" s="530"/>
      <c r="P52" s="530"/>
      <c r="Q52" s="530"/>
      <c r="R52" s="530"/>
      <c r="S52" s="530"/>
      <c r="T52" s="530"/>
      <c r="U52" s="530"/>
      <c r="V52" s="530"/>
      <c r="W52" s="530"/>
      <c r="X52" s="530"/>
      <c r="Y52" s="530"/>
      <c r="Z52" s="530"/>
      <c r="AA52" s="530"/>
      <c r="AB52" s="530"/>
      <c r="AC52" s="530"/>
      <c r="AD52" s="530"/>
      <c r="AE52" s="530"/>
      <c r="AF52" s="530"/>
      <c r="AG52" s="530"/>
      <c r="AH52" s="530"/>
      <c r="AI52" s="530"/>
      <c r="AJ52" s="530"/>
      <c r="AK52" s="530"/>
      <c r="AL52" s="530"/>
      <c r="AM52" s="530"/>
      <c r="AN52" s="530"/>
      <c r="AO52" s="530"/>
      <c r="AP52" s="530"/>
      <c r="AQ52" s="530"/>
      <c r="AR52" s="530"/>
      <c r="AS52" s="530"/>
      <c r="AT52" s="530"/>
      <c r="AU52" s="530"/>
      <c r="AV52" s="530"/>
      <c r="AW52" s="530"/>
      <c r="AX52" s="530"/>
      <c r="AY52" s="530"/>
      <c r="AZ52" s="530"/>
      <c r="BA52" s="530"/>
      <c r="BB52" s="530"/>
      <c r="BC52" s="530"/>
      <c r="BD52" s="530"/>
      <c r="BE52" s="530"/>
      <c r="BF52" s="530"/>
      <c r="BG52" s="530"/>
      <c r="BH52" s="530"/>
    </row>
    <row r="53" spans="1:60" ht="14.4" customHeight="1" x14ac:dyDescent="0.3">
      <c r="A53" s="530"/>
      <c r="B53" s="530"/>
      <c r="C53" s="530"/>
      <c r="D53" s="530"/>
      <c r="E53" s="530"/>
      <c r="F53" s="530"/>
      <c r="G53" s="530"/>
      <c r="H53" s="530"/>
      <c r="I53" s="530"/>
      <c r="J53" s="530"/>
      <c r="K53" s="530"/>
      <c r="L53" s="530"/>
      <c r="M53" s="530"/>
      <c r="N53" s="530"/>
      <c r="O53" s="530"/>
      <c r="P53" s="530"/>
      <c r="Q53" s="530"/>
      <c r="R53" s="530"/>
      <c r="S53" s="530"/>
      <c r="T53" s="530"/>
      <c r="U53" s="530"/>
      <c r="V53" s="530"/>
      <c r="W53" s="530"/>
      <c r="X53" s="530"/>
      <c r="Y53" s="530"/>
      <c r="Z53" s="530"/>
      <c r="AA53" s="530"/>
      <c r="AB53" s="530"/>
      <c r="AC53" s="530"/>
      <c r="AD53" s="530"/>
      <c r="AE53" s="530"/>
      <c r="AF53" s="530"/>
      <c r="AG53" s="530"/>
      <c r="AH53" s="530"/>
      <c r="AI53" s="530"/>
      <c r="AJ53" s="530"/>
      <c r="AK53" s="530"/>
      <c r="AL53" s="530"/>
      <c r="AM53" s="530"/>
      <c r="AN53" s="530"/>
      <c r="AO53" s="530"/>
      <c r="AP53" s="530"/>
      <c r="AQ53" s="530"/>
      <c r="AR53" s="530"/>
      <c r="AS53" s="530"/>
      <c r="AT53" s="530"/>
      <c r="AU53" s="530"/>
      <c r="AV53" s="530"/>
      <c r="AW53" s="530"/>
      <c r="AX53" s="530"/>
      <c r="AY53" s="530"/>
      <c r="AZ53" s="530"/>
      <c r="BA53" s="530"/>
      <c r="BB53" s="530"/>
      <c r="BC53" s="530"/>
      <c r="BD53" s="530"/>
      <c r="BE53" s="530"/>
      <c r="BF53" s="530"/>
      <c r="BG53" s="530"/>
      <c r="BH53" s="530"/>
    </row>
    <row r="54" spans="1:60" ht="14.4" customHeight="1" x14ac:dyDescent="0.3">
      <c r="A54" s="530"/>
      <c r="B54" s="530"/>
      <c r="C54" s="530"/>
      <c r="D54" s="530"/>
      <c r="E54" s="530"/>
      <c r="F54" s="530"/>
      <c r="G54" s="530"/>
      <c r="H54" s="530"/>
      <c r="I54" s="530"/>
      <c r="J54" s="530"/>
      <c r="K54" s="530"/>
      <c r="L54" s="530"/>
      <c r="M54" s="530"/>
      <c r="N54" s="530"/>
      <c r="O54" s="530"/>
      <c r="P54" s="530"/>
      <c r="Q54" s="530"/>
      <c r="R54" s="530"/>
      <c r="S54" s="530"/>
      <c r="T54" s="530"/>
      <c r="U54" s="530"/>
      <c r="V54" s="530"/>
      <c r="W54" s="530"/>
      <c r="X54" s="530"/>
      <c r="Y54" s="530"/>
      <c r="Z54" s="530"/>
      <c r="AA54" s="530"/>
      <c r="AB54" s="530"/>
      <c r="AC54" s="530"/>
      <c r="AD54" s="530"/>
      <c r="AE54" s="530"/>
      <c r="AF54" s="530"/>
      <c r="AG54" s="530"/>
      <c r="AH54" s="530"/>
      <c r="AI54" s="530"/>
      <c r="AJ54" s="530"/>
      <c r="AK54" s="530"/>
      <c r="AL54" s="530"/>
      <c r="AM54" s="530"/>
      <c r="AN54" s="530"/>
      <c r="AO54" s="530"/>
      <c r="AP54" s="530"/>
      <c r="AQ54" s="530"/>
      <c r="AR54" s="530"/>
      <c r="AS54" s="530"/>
      <c r="AT54" s="530"/>
      <c r="AU54" s="530"/>
      <c r="AV54" s="530"/>
      <c r="AW54" s="530"/>
      <c r="AX54" s="530"/>
      <c r="AY54" s="530"/>
      <c r="AZ54" s="530"/>
      <c r="BA54" s="530"/>
      <c r="BB54" s="530"/>
      <c r="BC54" s="530"/>
      <c r="BD54" s="530"/>
      <c r="BE54" s="530"/>
      <c r="BF54" s="530"/>
      <c r="BG54" s="530"/>
      <c r="BH54" s="530"/>
    </row>
    <row r="55" spans="1:60" ht="14.4" customHeight="1" x14ac:dyDescent="0.3">
      <c r="A55" s="530"/>
      <c r="B55" s="530"/>
      <c r="C55" s="530"/>
      <c r="D55" s="530"/>
      <c r="E55" s="530"/>
      <c r="F55" s="530"/>
      <c r="G55" s="530"/>
      <c r="H55" s="530"/>
      <c r="I55" s="530"/>
      <c r="J55" s="530"/>
      <c r="K55" s="530"/>
      <c r="L55" s="530"/>
      <c r="M55" s="530"/>
      <c r="N55" s="530"/>
      <c r="O55" s="530"/>
      <c r="P55" s="530"/>
      <c r="Q55" s="530"/>
      <c r="R55" s="530"/>
      <c r="S55" s="530"/>
      <c r="T55" s="530"/>
      <c r="U55" s="530"/>
      <c r="V55" s="530"/>
      <c r="W55" s="530"/>
      <c r="X55" s="530"/>
      <c r="Y55" s="530"/>
      <c r="Z55" s="530"/>
      <c r="AA55" s="530"/>
      <c r="AB55" s="530"/>
      <c r="AC55" s="530"/>
      <c r="AD55" s="530"/>
      <c r="AE55" s="530"/>
      <c r="AF55" s="530"/>
      <c r="AG55" s="530"/>
      <c r="AH55" s="530"/>
      <c r="AI55" s="530"/>
      <c r="AJ55" s="530"/>
      <c r="AK55" s="530"/>
      <c r="AL55" s="530"/>
      <c r="AM55" s="530"/>
      <c r="AN55" s="530"/>
      <c r="AO55" s="530"/>
      <c r="AP55" s="530"/>
      <c r="AQ55" s="530"/>
      <c r="AR55" s="530"/>
      <c r="AS55" s="530"/>
      <c r="AT55" s="530"/>
      <c r="AU55" s="530"/>
      <c r="AV55" s="530"/>
      <c r="AW55" s="530"/>
      <c r="AX55" s="530"/>
      <c r="AY55" s="530"/>
      <c r="AZ55" s="530"/>
      <c r="BA55" s="530"/>
      <c r="BB55" s="530"/>
      <c r="BC55" s="530"/>
      <c r="BD55" s="530"/>
      <c r="BE55" s="530"/>
      <c r="BF55" s="530"/>
      <c r="BG55" s="530"/>
      <c r="BH55" s="530"/>
    </row>
    <row r="56" spans="1:60" ht="14.4" customHeight="1" x14ac:dyDescent="0.3">
      <c r="A56" s="530"/>
      <c r="B56" s="530"/>
      <c r="C56" s="530"/>
      <c r="D56" s="530"/>
      <c r="E56" s="530"/>
      <c r="F56" s="530"/>
      <c r="G56" s="530"/>
      <c r="H56" s="530"/>
      <c r="I56" s="530"/>
      <c r="J56" s="530"/>
      <c r="K56" s="530"/>
      <c r="L56" s="530"/>
      <c r="M56" s="530"/>
      <c r="N56" s="530"/>
      <c r="O56" s="530"/>
      <c r="P56" s="530"/>
      <c r="Q56" s="530"/>
      <c r="R56" s="530"/>
      <c r="S56" s="530"/>
      <c r="T56" s="530"/>
      <c r="U56" s="530"/>
      <c r="V56" s="530"/>
      <c r="W56" s="530"/>
      <c r="X56" s="530"/>
      <c r="Y56" s="530"/>
      <c r="Z56" s="530"/>
      <c r="AA56" s="530"/>
      <c r="AB56" s="530"/>
      <c r="AC56" s="530"/>
      <c r="AD56" s="530"/>
      <c r="AE56" s="530"/>
      <c r="AF56" s="530"/>
      <c r="AG56" s="530"/>
      <c r="AH56" s="530"/>
      <c r="AI56" s="530"/>
      <c r="AJ56" s="530"/>
      <c r="AK56" s="530"/>
      <c r="AL56" s="530"/>
      <c r="AM56" s="530"/>
      <c r="AN56" s="530"/>
      <c r="AO56" s="530"/>
      <c r="AP56" s="530"/>
      <c r="AQ56" s="530"/>
      <c r="AR56" s="530"/>
      <c r="AS56" s="530"/>
      <c r="AT56" s="530"/>
      <c r="AU56" s="530"/>
      <c r="AV56" s="530"/>
      <c r="AW56" s="530"/>
      <c r="AX56" s="530"/>
      <c r="AY56" s="530"/>
      <c r="AZ56" s="530"/>
      <c r="BA56" s="530"/>
      <c r="BB56" s="530"/>
      <c r="BC56" s="530"/>
      <c r="BD56" s="530"/>
      <c r="BE56" s="530"/>
      <c r="BF56" s="530"/>
      <c r="BG56" s="530"/>
      <c r="BH56" s="530"/>
    </row>
    <row r="57" spans="1:60" ht="14.4" customHeight="1" x14ac:dyDescent="0.3">
      <c r="A57" s="530"/>
      <c r="B57" s="530"/>
      <c r="C57" s="530"/>
      <c r="D57" s="530"/>
      <c r="E57" s="530"/>
      <c r="F57" s="530"/>
      <c r="G57" s="530"/>
      <c r="H57" s="530"/>
      <c r="I57" s="530"/>
      <c r="J57" s="530"/>
      <c r="K57" s="530"/>
      <c r="L57" s="530"/>
      <c r="M57" s="530"/>
      <c r="N57" s="530"/>
      <c r="O57" s="530"/>
      <c r="P57" s="530"/>
      <c r="Q57" s="530"/>
      <c r="R57" s="530"/>
      <c r="S57" s="530"/>
      <c r="T57" s="530"/>
      <c r="U57" s="530"/>
      <c r="V57" s="530"/>
      <c r="W57" s="530"/>
      <c r="X57" s="530"/>
      <c r="Y57" s="530"/>
      <c r="Z57" s="530"/>
      <c r="AA57" s="530"/>
      <c r="AB57" s="530"/>
      <c r="AC57" s="530"/>
      <c r="AD57" s="530"/>
      <c r="AE57" s="530"/>
      <c r="AF57" s="530"/>
      <c r="AG57" s="530"/>
      <c r="AH57" s="530"/>
      <c r="AI57" s="530"/>
      <c r="AJ57" s="530"/>
      <c r="AK57" s="530"/>
      <c r="AL57" s="530"/>
      <c r="AM57" s="530"/>
      <c r="AN57" s="530"/>
      <c r="AO57" s="530"/>
      <c r="AP57" s="530"/>
      <c r="AQ57" s="530"/>
      <c r="AR57" s="530"/>
      <c r="AS57" s="530"/>
      <c r="AT57" s="530"/>
      <c r="AU57" s="530"/>
      <c r="AV57" s="530"/>
      <c r="AW57" s="530"/>
      <c r="AX57" s="530"/>
      <c r="AY57" s="530"/>
      <c r="AZ57" s="530"/>
      <c r="BA57" s="530"/>
      <c r="BB57" s="530"/>
      <c r="BC57" s="530"/>
      <c r="BD57" s="530"/>
      <c r="BE57" s="530"/>
      <c r="BF57" s="530"/>
      <c r="BG57" s="530"/>
      <c r="BH57" s="530"/>
    </row>
    <row r="58" spans="1:60" ht="14.4" customHeight="1" x14ac:dyDescent="0.3">
      <c r="A58" s="530"/>
      <c r="B58" s="530"/>
      <c r="C58" s="530"/>
      <c r="D58" s="530"/>
      <c r="E58" s="530"/>
      <c r="F58" s="530"/>
      <c r="G58" s="530"/>
      <c r="H58" s="530"/>
      <c r="I58" s="530"/>
      <c r="J58" s="530"/>
      <c r="K58" s="530"/>
      <c r="L58" s="530"/>
      <c r="M58" s="530"/>
      <c r="N58" s="530"/>
      <c r="O58" s="530"/>
      <c r="P58" s="530"/>
      <c r="Q58" s="530"/>
      <c r="R58" s="530"/>
      <c r="S58" s="530"/>
      <c r="T58" s="530"/>
      <c r="U58" s="530"/>
      <c r="V58" s="530"/>
      <c r="W58" s="530"/>
      <c r="X58" s="530"/>
      <c r="Y58" s="530"/>
      <c r="Z58" s="530"/>
      <c r="AA58" s="530"/>
      <c r="AB58" s="530"/>
      <c r="AC58" s="530"/>
      <c r="AD58" s="530"/>
      <c r="AE58" s="530"/>
      <c r="AF58" s="530"/>
      <c r="AG58" s="530"/>
      <c r="AH58" s="530"/>
      <c r="AI58" s="530"/>
      <c r="AJ58" s="530"/>
      <c r="AK58" s="530"/>
      <c r="AL58" s="530"/>
      <c r="AM58" s="530"/>
      <c r="AN58" s="530"/>
      <c r="AO58" s="530"/>
      <c r="AP58" s="530"/>
      <c r="AQ58" s="530"/>
      <c r="AR58" s="530"/>
      <c r="AS58" s="530"/>
      <c r="AT58" s="530"/>
      <c r="AU58" s="530"/>
      <c r="AV58" s="530"/>
      <c r="AW58" s="530"/>
      <c r="AX58" s="530"/>
      <c r="AY58" s="530"/>
      <c r="AZ58" s="530"/>
      <c r="BA58" s="530"/>
      <c r="BB58" s="530"/>
      <c r="BC58" s="530"/>
      <c r="BD58" s="530"/>
      <c r="BE58" s="530"/>
      <c r="BF58" s="530"/>
      <c r="BG58" s="530"/>
      <c r="BH58" s="530"/>
    </row>
    <row r="59" spans="1:60" ht="14.4" customHeight="1" x14ac:dyDescent="0.3">
      <c r="A59" s="530"/>
      <c r="B59" s="530"/>
      <c r="C59" s="530"/>
      <c r="D59" s="530"/>
      <c r="E59" s="530"/>
      <c r="F59" s="530"/>
      <c r="G59" s="530"/>
      <c r="H59" s="530"/>
      <c r="I59" s="530"/>
      <c r="J59" s="530"/>
      <c r="K59" s="530"/>
      <c r="L59" s="530"/>
      <c r="M59" s="530"/>
      <c r="N59" s="530"/>
      <c r="O59" s="530"/>
      <c r="P59" s="530"/>
      <c r="Q59" s="530"/>
      <c r="R59" s="530"/>
      <c r="S59" s="530"/>
      <c r="T59" s="530"/>
      <c r="U59" s="530"/>
      <c r="V59" s="530"/>
      <c r="W59" s="530"/>
      <c r="X59" s="530"/>
      <c r="Y59" s="530"/>
      <c r="Z59" s="530"/>
      <c r="AA59" s="530"/>
      <c r="AB59" s="530"/>
      <c r="AC59" s="530"/>
      <c r="AD59" s="530"/>
      <c r="AE59" s="530"/>
      <c r="AF59" s="530"/>
      <c r="AG59" s="530"/>
      <c r="AH59" s="530"/>
      <c r="AI59" s="530"/>
      <c r="AJ59" s="530"/>
      <c r="AK59" s="530"/>
      <c r="AL59" s="530"/>
      <c r="AM59" s="530"/>
      <c r="AN59" s="530"/>
      <c r="AO59" s="530"/>
      <c r="AP59" s="530"/>
      <c r="AQ59" s="530"/>
      <c r="AR59" s="530"/>
      <c r="AS59" s="530"/>
      <c r="AT59" s="530"/>
      <c r="AU59" s="530"/>
      <c r="AV59" s="530"/>
      <c r="AW59" s="530"/>
      <c r="AX59" s="530"/>
      <c r="AY59" s="530"/>
      <c r="AZ59" s="530"/>
      <c r="BA59" s="530"/>
      <c r="BB59" s="530"/>
      <c r="BC59" s="530"/>
      <c r="BD59" s="530"/>
      <c r="BE59" s="530"/>
      <c r="BF59" s="530"/>
      <c r="BG59" s="530"/>
      <c r="BH59" s="530"/>
    </row>
    <row r="60" spans="1:60" ht="14.4" customHeight="1" x14ac:dyDescent="0.3">
      <c r="A60" s="530"/>
      <c r="B60" s="530"/>
      <c r="C60" s="530"/>
      <c r="D60" s="530"/>
      <c r="E60" s="530"/>
      <c r="F60" s="530"/>
      <c r="G60" s="530"/>
      <c r="H60" s="530"/>
      <c r="I60" s="530"/>
      <c r="J60" s="530"/>
      <c r="K60" s="530"/>
      <c r="L60" s="530"/>
      <c r="M60" s="530"/>
      <c r="N60" s="530"/>
      <c r="O60" s="530"/>
      <c r="P60" s="530"/>
      <c r="Q60" s="530"/>
      <c r="R60" s="530"/>
      <c r="S60" s="530"/>
      <c r="T60" s="530"/>
      <c r="U60" s="530"/>
      <c r="V60" s="530"/>
      <c r="W60" s="530"/>
      <c r="X60" s="530"/>
      <c r="Y60" s="530"/>
      <c r="Z60" s="530"/>
      <c r="AA60" s="530"/>
      <c r="AB60" s="530"/>
      <c r="AC60" s="530"/>
      <c r="AD60" s="530"/>
      <c r="AE60" s="530"/>
      <c r="AF60" s="530"/>
      <c r="AG60" s="530"/>
      <c r="AH60" s="530"/>
      <c r="AI60" s="530"/>
      <c r="AJ60" s="530"/>
      <c r="AK60" s="530"/>
      <c r="AL60" s="530"/>
      <c r="AM60" s="530"/>
      <c r="AN60" s="530"/>
      <c r="AO60" s="530"/>
      <c r="AP60" s="530"/>
      <c r="AQ60" s="530"/>
      <c r="AR60" s="530"/>
      <c r="AS60" s="530"/>
      <c r="AT60" s="530"/>
      <c r="AU60" s="530"/>
      <c r="AV60" s="530"/>
      <c r="AW60" s="530"/>
      <c r="AX60" s="530"/>
      <c r="AY60" s="530"/>
      <c r="AZ60" s="530"/>
      <c r="BA60" s="530"/>
      <c r="BB60" s="530"/>
      <c r="BC60" s="530"/>
      <c r="BD60" s="530"/>
      <c r="BE60" s="530"/>
      <c r="BF60" s="530"/>
      <c r="BG60" s="530"/>
      <c r="BH60" s="530"/>
    </row>
    <row r="61" spans="1:60" ht="14.4" customHeight="1" x14ac:dyDescent="0.3">
      <c r="A61" s="530"/>
      <c r="B61" s="530"/>
      <c r="C61" s="530"/>
      <c r="D61" s="530"/>
      <c r="E61" s="530"/>
      <c r="F61" s="530"/>
      <c r="G61" s="530"/>
      <c r="H61" s="530"/>
      <c r="I61" s="530"/>
      <c r="J61" s="530"/>
      <c r="K61" s="530"/>
      <c r="L61" s="530"/>
      <c r="M61" s="530"/>
      <c r="N61" s="530"/>
      <c r="O61" s="530"/>
      <c r="P61" s="530"/>
      <c r="Q61" s="530"/>
      <c r="R61" s="530"/>
      <c r="S61" s="530"/>
      <c r="T61" s="530"/>
      <c r="U61" s="530"/>
      <c r="V61" s="530"/>
      <c r="W61" s="530"/>
      <c r="X61" s="530"/>
      <c r="Y61" s="530"/>
      <c r="Z61" s="530"/>
      <c r="AA61" s="530"/>
      <c r="AB61" s="530"/>
      <c r="AC61" s="530"/>
      <c r="AD61" s="530"/>
      <c r="AE61" s="530"/>
      <c r="AF61" s="530"/>
      <c r="AG61" s="530"/>
      <c r="AH61" s="530"/>
      <c r="AI61" s="530"/>
      <c r="AJ61" s="530"/>
      <c r="AK61" s="530"/>
      <c r="AL61" s="530"/>
      <c r="AM61" s="530"/>
      <c r="AN61" s="530"/>
      <c r="AO61" s="530"/>
      <c r="AP61" s="530"/>
      <c r="AQ61" s="530"/>
      <c r="AR61" s="530"/>
      <c r="AS61" s="530"/>
      <c r="AT61" s="530"/>
      <c r="AU61" s="530"/>
      <c r="AV61" s="530"/>
      <c r="AW61" s="530"/>
      <c r="AX61" s="530"/>
      <c r="AY61" s="530"/>
      <c r="AZ61" s="530"/>
      <c r="BA61" s="530"/>
      <c r="BB61" s="530"/>
      <c r="BC61" s="530"/>
      <c r="BD61" s="530"/>
      <c r="BE61" s="530"/>
      <c r="BF61" s="530"/>
      <c r="BG61" s="530"/>
      <c r="BH61" s="530"/>
    </row>
    <row r="62" spans="1:60" ht="14.4" customHeight="1" x14ac:dyDescent="0.3">
      <c r="A62" s="530"/>
      <c r="B62" s="530"/>
      <c r="C62" s="530"/>
      <c r="D62" s="530"/>
      <c r="E62" s="530"/>
      <c r="F62" s="530"/>
      <c r="G62" s="530"/>
      <c r="H62" s="530"/>
      <c r="I62" s="530"/>
      <c r="J62" s="530"/>
      <c r="K62" s="530"/>
      <c r="L62" s="530"/>
      <c r="M62" s="530"/>
      <c r="N62" s="530"/>
      <c r="O62" s="530"/>
      <c r="P62" s="530"/>
      <c r="Q62" s="530"/>
      <c r="R62" s="530"/>
      <c r="S62" s="530"/>
      <c r="T62" s="530"/>
      <c r="U62" s="530"/>
      <c r="V62" s="530"/>
      <c r="W62" s="530"/>
      <c r="X62" s="530"/>
      <c r="Y62" s="530"/>
      <c r="Z62" s="530"/>
      <c r="AA62" s="530"/>
      <c r="AB62" s="530"/>
      <c r="AC62" s="530"/>
      <c r="AD62" s="530"/>
      <c r="AE62" s="530"/>
      <c r="AF62" s="530"/>
      <c r="AG62" s="530"/>
      <c r="AH62" s="530"/>
      <c r="AI62" s="530"/>
      <c r="AJ62" s="530"/>
      <c r="AK62" s="530"/>
      <c r="AL62" s="530"/>
      <c r="AM62" s="530"/>
      <c r="AN62" s="530"/>
      <c r="AO62" s="530"/>
      <c r="AP62" s="530"/>
      <c r="AQ62" s="530"/>
      <c r="AR62" s="530"/>
      <c r="AS62" s="530"/>
      <c r="AT62" s="530"/>
      <c r="AU62" s="530"/>
      <c r="AV62" s="530"/>
      <c r="AW62" s="530"/>
      <c r="AX62" s="530"/>
      <c r="AY62" s="530"/>
      <c r="AZ62" s="530"/>
      <c r="BA62" s="530"/>
      <c r="BB62" s="530"/>
      <c r="BC62" s="530"/>
      <c r="BD62" s="530"/>
      <c r="BE62" s="530"/>
      <c r="BF62" s="530"/>
      <c r="BG62" s="530"/>
      <c r="BH62" s="530"/>
    </row>
    <row r="63" spans="1:60" ht="14.4" customHeight="1" x14ac:dyDescent="0.3">
      <c r="A63" s="530"/>
      <c r="B63" s="530"/>
      <c r="C63" s="530"/>
      <c r="D63" s="530"/>
      <c r="E63" s="530"/>
      <c r="F63" s="530"/>
      <c r="G63" s="530"/>
      <c r="H63" s="530"/>
      <c r="I63" s="530"/>
      <c r="J63" s="530"/>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530"/>
      <c r="AK63" s="530"/>
      <c r="AL63" s="530"/>
      <c r="AM63" s="530"/>
      <c r="AN63" s="530"/>
      <c r="AO63" s="530"/>
      <c r="AP63" s="530"/>
      <c r="AQ63" s="530"/>
      <c r="AR63" s="530"/>
      <c r="AS63" s="530"/>
      <c r="AT63" s="530"/>
      <c r="AU63" s="530"/>
      <c r="AV63" s="530"/>
      <c r="AW63" s="530"/>
      <c r="AX63" s="530"/>
      <c r="AY63" s="530"/>
      <c r="AZ63" s="530"/>
      <c r="BA63" s="530"/>
      <c r="BB63" s="530"/>
      <c r="BC63" s="530"/>
      <c r="BD63" s="530"/>
      <c r="BE63" s="530"/>
      <c r="BF63" s="530"/>
      <c r="BG63" s="530"/>
      <c r="BH63" s="530"/>
    </row>
    <row r="64" spans="1:60" ht="14.4" customHeight="1" x14ac:dyDescent="0.3">
      <c r="A64" s="530"/>
      <c r="B64" s="530"/>
      <c r="C64" s="530"/>
      <c r="D64" s="530"/>
      <c r="E64" s="530"/>
      <c r="F64" s="530"/>
      <c r="G64" s="530"/>
      <c r="H64" s="530"/>
      <c r="I64" s="530"/>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530"/>
      <c r="AJ64" s="530"/>
      <c r="AK64" s="530"/>
      <c r="AL64" s="530"/>
      <c r="AM64" s="530"/>
      <c r="AN64" s="530"/>
      <c r="AO64" s="530"/>
      <c r="AP64" s="530"/>
      <c r="AQ64" s="530"/>
      <c r="AR64" s="530"/>
      <c r="AS64" s="530"/>
      <c r="AT64" s="530"/>
      <c r="AU64" s="530"/>
      <c r="AV64" s="530"/>
      <c r="AW64" s="530"/>
      <c r="AX64" s="530"/>
      <c r="AY64" s="530"/>
      <c r="AZ64" s="530"/>
      <c r="BA64" s="530"/>
      <c r="BB64" s="530"/>
      <c r="BC64" s="530"/>
      <c r="BD64" s="530"/>
      <c r="BE64" s="530"/>
      <c r="BF64" s="530"/>
      <c r="BG64" s="530"/>
      <c r="BH64" s="530"/>
    </row>
  </sheetData>
  <sheetProtection algorithmName="SHA-512" hashValue="p64PlAph6JIgtu4FpMCZxJ5euNiDxYH/lskuh+EDGFJrfWIV0Kg2he4/1MObJvl8dUPk6PTKOfaYrByorVwoeg==" saltValue="s+V+oKpPhOn+HSYvM7ZU5A==" spinCount="100000" sheet="1" objects="1" scenarios="1"/>
  <mergeCells count="3">
    <mergeCell ref="G5:P5"/>
    <mergeCell ref="G6:P6"/>
    <mergeCell ref="G7:P7"/>
  </mergeCells>
  <dataValidations count="1">
    <dataValidation type="list" allowBlank="1" showInputMessage="1" showErrorMessage="1" sqref="G7:P7" xr:uid="{40764B94-7D87-40FD-944D-88A94C341667}">
      <formula1>template_translations</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75E0-BDB4-46BC-B0FA-402804C0EE4F}">
  <sheetPr codeName="Sheet11"/>
  <dimension ref="A1:AY108"/>
  <sheetViews>
    <sheetView zoomScaleNormal="100" workbookViewId="0"/>
  </sheetViews>
  <sheetFormatPr baseColWidth="10" defaultColWidth="8.88671875" defaultRowHeight="14.4" x14ac:dyDescent="0.3"/>
  <cols>
    <col min="1" max="1" width="82.44140625" customWidth="1"/>
    <col min="2" max="2" width="14.109375" bestFit="1" customWidth="1"/>
    <col min="3" max="3" width="18.6640625" bestFit="1" customWidth="1"/>
    <col min="4" max="4" width="20.5546875" bestFit="1" customWidth="1"/>
    <col min="5" max="5" width="21.109375" bestFit="1" customWidth="1"/>
    <col min="6" max="6" width="25.44140625" bestFit="1" customWidth="1"/>
    <col min="7" max="8" width="15.33203125" hidden="1" customWidth="1"/>
    <col min="9" max="9" width="20.44140625" hidden="1" customWidth="1"/>
    <col min="10" max="11" width="8.88671875" hidden="1" customWidth="1"/>
    <col min="12" max="12" width="23.88671875" hidden="1" customWidth="1"/>
    <col min="13" max="13" width="20.6640625" hidden="1" customWidth="1"/>
    <col min="14" max="14" width="17.6640625" hidden="1" customWidth="1"/>
    <col min="15" max="15" width="14.6640625" hidden="1" customWidth="1"/>
    <col min="16" max="16" width="27.109375" hidden="1" customWidth="1"/>
    <col min="17" max="17" width="23.88671875" hidden="1" customWidth="1"/>
    <col min="18" max="18" width="20.6640625" hidden="1" customWidth="1"/>
    <col min="19" max="19" width="17.6640625" hidden="1" customWidth="1"/>
    <col min="20" max="21" width="8.88671875" hidden="1" customWidth="1"/>
    <col min="22" max="22" width="38.5546875" hidden="1" customWidth="1"/>
    <col min="23" max="24" width="42.6640625" hidden="1" customWidth="1"/>
    <col min="25" max="25" width="48.6640625" hidden="1" customWidth="1"/>
    <col min="26" max="26" width="33.44140625" hidden="1" customWidth="1"/>
    <col min="27" max="27" width="36.44140625" hidden="1" customWidth="1"/>
    <col min="28" max="28" width="39.5546875" hidden="1" customWidth="1"/>
    <col min="29" max="29" width="42.5546875" hidden="1" customWidth="1"/>
    <col min="30" max="30" width="27.44140625" hidden="1" customWidth="1"/>
    <col min="31" max="31" width="30.44140625" hidden="1" customWidth="1"/>
    <col min="32" max="32" width="33.5546875" hidden="1" customWidth="1"/>
    <col min="33" max="33" width="36.6640625" hidden="1" customWidth="1"/>
    <col min="34" max="34" width="24.33203125" hidden="1" customWidth="1"/>
    <col min="35" max="35" width="27.109375" hidden="1" customWidth="1"/>
    <col min="36" max="36" width="30.44140625" hidden="1" customWidth="1"/>
    <col min="37" max="37" width="33.33203125" hidden="1" customWidth="1"/>
    <col min="38" max="39" width="8.88671875" hidden="1" customWidth="1"/>
    <col min="40" max="40" width="28" hidden="1" customWidth="1"/>
    <col min="41" max="41" width="29" hidden="1" customWidth="1"/>
    <col min="42" max="42" width="26" hidden="1" customWidth="1"/>
    <col min="43" max="43" width="24.88671875" hidden="1" customWidth="1"/>
    <col min="44" max="45" width="21.88671875" hidden="1" customWidth="1"/>
    <col min="46" max="46" width="24.6640625" hidden="1" customWidth="1"/>
    <col min="47" max="47" width="18.109375" hidden="1" customWidth="1"/>
    <col min="48" max="48" width="21.33203125" hidden="1" customWidth="1"/>
    <col min="49" max="49" width="13.44140625" hidden="1" customWidth="1"/>
    <col min="50" max="50" width="22.5546875" hidden="1" customWidth="1"/>
    <col min="51" max="51" width="7.109375" customWidth="1"/>
    <col min="52" max="52" width="9.109375" customWidth="1"/>
  </cols>
  <sheetData>
    <row r="1" spans="1:51" ht="29.4" thickBot="1" x14ac:dyDescent="0.35">
      <c r="A1" s="150" t="s">
        <v>96</v>
      </c>
      <c r="B1" s="151" t="s">
        <v>91</v>
      </c>
      <c r="C1" s="152" t="s">
        <v>97</v>
      </c>
      <c r="D1" s="153" t="s">
        <v>98</v>
      </c>
      <c r="E1" s="154" t="s">
        <v>99</v>
      </c>
      <c r="F1" s="186" t="s">
        <v>92</v>
      </c>
      <c r="G1" s="21" t="s">
        <v>100</v>
      </c>
      <c r="H1" s="78" t="s">
        <v>101</v>
      </c>
      <c r="I1" s="21" t="s">
        <v>102</v>
      </c>
      <c r="J1" s="21" t="s">
        <v>103</v>
      </c>
      <c r="K1" s="22" t="s">
        <v>104</v>
      </c>
      <c r="L1" s="22" t="s">
        <v>105</v>
      </c>
      <c r="M1" s="22" t="s">
        <v>106</v>
      </c>
      <c r="N1" s="22" t="s">
        <v>107</v>
      </c>
      <c r="O1" s="22" t="s">
        <v>108</v>
      </c>
      <c r="P1" s="22" t="s">
        <v>109</v>
      </c>
      <c r="Q1" s="22" t="s">
        <v>110</v>
      </c>
      <c r="R1" s="22" t="s">
        <v>111</v>
      </c>
      <c r="S1" s="22" t="s">
        <v>112</v>
      </c>
      <c r="T1" s="14"/>
      <c r="U1" s="22" t="s">
        <v>104</v>
      </c>
      <c r="V1" s="22" t="s">
        <v>113</v>
      </c>
      <c r="W1" s="22" t="s">
        <v>114</v>
      </c>
      <c r="X1" s="22" t="s">
        <v>115</v>
      </c>
      <c r="Y1" s="22" t="s">
        <v>116</v>
      </c>
      <c r="Z1" s="22" t="s">
        <v>117</v>
      </c>
      <c r="AA1" s="22" t="s">
        <v>118</v>
      </c>
      <c r="AB1" s="22" t="s">
        <v>119</v>
      </c>
      <c r="AC1" s="22" t="s">
        <v>120</v>
      </c>
      <c r="AD1" s="22" t="s">
        <v>121</v>
      </c>
      <c r="AE1" s="22" t="s">
        <v>122</v>
      </c>
      <c r="AF1" s="22" t="s">
        <v>123</v>
      </c>
      <c r="AG1" s="22" t="s">
        <v>124</v>
      </c>
      <c r="AH1" s="22" t="s">
        <v>125</v>
      </c>
      <c r="AI1" s="22" t="s">
        <v>126</v>
      </c>
      <c r="AJ1" s="22" t="s">
        <v>127</v>
      </c>
      <c r="AK1" s="22" t="s">
        <v>128</v>
      </c>
      <c r="AL1" s="8"/>
      <c r="AM1" s="164" t="s">
        <v>104</v>
      </c>
      <c r="AN1" s="165" t="s">
        <v>129</v>
      </c>
      <c r="AO1" s="165" t="s">
        <v>130</v>
      </c>
      <c r="AP1" s="165" t="s">
        <v>131</v>
      </c>
      <c r="AQ1" s="165" t="s">
        <v>132</v>
      </c>
      <c r="AR1" s="165" t="s">
        <v>133</v>
      </c>
      <c r="AS1" s="165" t="s">
        <v>134</v>
      </c>
      <c r="AT1" s="165" t="s">
        <v>135</v>
      </c>
      <c r="AU1" s="165" t="s">
        <v>136</v>
      </c>
      <c r="AW1" s="152" t="s">
        <v>91</v>
      </c>
      <c r="AX1" s="186" t="s">
        <v>92</v>
      </c>
      <c r="AY1" s="262" t="s">
        <v>137</v>
      </c>
    </row>
    <row r="2" spans="1:51" ht="15" thickBot="1" x14ac:dyDescent="0.35">
      <c r="A2" s="309" t="s">
        <v>138</v>
      </c>
      <c r="B2" s="155" t="s">
        <v>139</v>
      </c>
      <c r="C2" s="156">
        <v>26.7</v>
      </c>
      <c r="D2" s="254"/>
      <c r="E2" s="255"/>
      <c r="F2" s="191" t="s">
        <v>140</v>
      </c>
      <c r="G2" s="189" t="s">
        <v>141</v>
      </c>
      <c r="H2" s="48" t="s">
        <v>142</v>
      </c>
      <c r="I2" s="3" t="s">
        <v>143</v>
      </c>
      <c r="J2" s="1" t="s">
        <v>141</v>
      </c>
      <c r="K2" s="23" t="s">
        <v>105</v>
      </c>
      <c r="L2" s="24">
        <v>1</v>
      </c>
      <c r="M2" s="25">
        <v>1E-3</v>
      </c>
      <c r="N2" s="25">
        <v>9.9999999999999995E-7</v>
      </c>
      <c r="O2" s="25">
        <v>1.0000000000000001E-9</v>
      </c>
      <c r="P2" s="25">
        <v>1000</v>
      </c>
      <c r="Q2" s="25">
        <v>1</v>
      </c>
      <c r="R2" s="25">
        <v>1E-3</v>
      </c>
      <c r="S2" s="26">
        <v>9.9999999999999995E-7</v>
      </c>
      <c r="U2" s="23" t="s">
        <v>113</v>
      </c>
      <c r="V2" s="37">
        <v>1</v>
      </c>
      <c r="W2" s="38">
        <v>1000</v>
      </c>
      <c r="X2" s="38">
        <v>1000000</v>
      </c>
      <c r="Y2" s="38">
        <v>1000000000</v>
      </c>
      <c r="Z2" s="38">
        <v>1E-3</v>
      </c>
      <c r="AA2" s="38">
        <v>1</v>
      </c>
      <c r="AB2" s="38">
        <v>1000</v>
      </c>
      <c r="AC2" s="38">
        <v>1000000</v>
      </c>
      <c r="AD2" s="38">
        <v>9.9999999999999998E-13</v>
      </c>
      <c r="AE2" s="38">
        <v>1.0000000000000001E-9</v>
      </c>
      <c r="AF2" s="38">
        <v>9.9999999999999995E-7</v>
      </c>
      <c r="AG2" s="38">
        <v>1E-3</v>
      </c>
      <c r="AH2" s="41">
        <v>2.7799999999999998E-13</v>
      </c>
      <c r="AI2" s="41">
        <v>2.7800000000000002E-10</v>
      </c>
      <c r="AJ2" s="41">
        <v>2.7799999999999997E-7</v>
      </c>
      <c r="AK2" s="42">
        <v>2.7799999999999998E-4</v>
      </c>
      <c r="AM2" s="166" t="s">
        <v>129</v>
      </c>
      <c r="AN2" s="167">
        <v>1</v>
      </c>
      <c r="AO2" s="167">
        <v>0.1</v>
      </c>
      <c r="AP2" s="168">
        <v>0.01</v>
      </c>
      <c r="AQ2" s="168">
        <v>1E-3</v>
      </c>
      <c r="AR2" s="168">
        <v>9.9999999999999995E-7</v>
      </c>
      <c r="AS2" s="168">
        <v>9.9999999999999995E-7</v>
      </c>
      <c r="AT2" s="168">
        <v>1.0000000000000001E-9</v>
      </c>
      <c r="AU2" s="169">
        <v>9.9999999999999998E-13</v>
      </c>
      <c r="AW2" s="3" t="s">
        <v>139</v>
      </c>
      <c r="AX2" s="3" t="s">
        <v>144</v>
      </c>
      <c r="AY2" s="263"/>
    </row>
    <row r="3" spans="1:51" ht="15" thickBot="1" x14ac:dyDescent="0.35">
      <c r="A3" s="310" t="s">
        <v>145</v>
      </c>
      <c r="B3" s="155" t="s">
        <v>146</v>
      </c>
      <c r="C3" s="157">
        <v>44.3</v>
      </c>
      <c r="D3" s="126">
        <v>0.71</v>
      </c>
      <c r="E3" s="256"/>
      <c r="F3" s="192" t="s">
        <v>140</v>
      </c>
      <c r="G3" s="190" t="s">
        <v>147</v>
      </c>
      <c r="H3" s="7" t="s">
        <v>148</v>
      </c>
      <c r="I3" s="1" t="s">
        <v>149</v>
      </c>
      <c r="J3" s="1" t="s">
        <v>147</v>
      </c>
      <c r="K3" s="27" t="s">
        <v>106</v>
      </c>
      <c r="L3" s="28">
        <v>1000</v>
      </c>
      <c r="M3" s="29">
        <v>1</v>
      </c>
      <c r="N3" s="29">
        <v>1E-3</v>
      </c>
      <c r="O3" s="29">
        <v>9.9999999999999995E-7</v>
      </c>
      <c r="P3" s="29">
        <v>1000000</v>
      </c>
      <c r="Q3" s="29">
        <v>1000</v>
      </c>
      <c r="R3" s="29">
        <v>1</v>
      </c>
      <c r="S3" s="30">
        <v>1E-3</v>
      </c>
      <c r="U3" s="27" t="s">
        <v>114</v>
      </c>
      <c r="V3" s="36">
        <v>1E-3</v>
      </c>
      <c r="W3" s="35">
        <v>1</v>
      </c>
      <c r="X3" s="35">
        <v>1000</v>
      </c>
      <c r="Y3" s="35">
        <v>1000000</v>
      </c>
      <c r="Z3" s="35">
        <v>9.9999999999999995E-7</v>
      </c>
      <c r="AA3" s="35">
        <v>1E-3</v>
      </c>
      <c r="AB3" s="35">
        <v>1</v>
      </c>
      <c r="AC3" s="35">
        <v>1000</v>
      </c>
      <c r="AD3" s="35">
        <v>1.0000000000000001E-15</v>
      </c>
      <c r="AE3" s="35">
        <v>9.9999999999999998E-13</v>
      </c>
      <c r="AF3" s="35">
        <v>1.0000000000000001E-9</v>
      </c>
      <c r="AG3" s="35">
        <v>9.9999999999999995E-7</v>
      </c>
      <c r="AH3" s="39">
        <v>2.7799999999999998E-16</v>
      </c>
      <c r="AI3" s="39">
        <v>2.7800000000000002E-10</v>
      </c>
      <c r="AJ3" s="39">
        <v>2.7799999999999997E-7</v>
      </c>
      <c r="AK3" s="43">
        <v>2.7799999999999998E-4</v>
      </c>
      <c r="AM3" s="166" t="s">
        <v>130</v>
      </c>
      <c r="AN3" s="170">
        <v>10</v>
      </c>
      <c r="AO3" s="170">
        <v>1</v>
      </c>
      <c r="AP3" s="171">
        <v>0.1</v>
      </c>
      <c r="AQ3" s="171">
        <v>0.01</v>
      </c>
      <c r="AR3" s="171">
        <v>1.0000000000000001E-5</v>
      </c>
      <c r="AS3" s="171">
        <v>1.0000000000000001E-5</v>
      </c>
      <c r="AT3" s="171">
        <v>1E-8</v>
      </c>
      <c r="AU3" s="172">
        <v>9.9999999999999994E-12</v>
      </c>
      <c r="AW3" s="1" t="s">
        <v>146</v>
      </c>
      <c r="AX3" s="1" t="s">
        <v>140</v>
      </c>
      <c r="AY3" s="263"/>
    </row>
    <row r="4" spans="1:51" ht="15" thickBot="1" x14ac:dyDescent="0.35">
      <c r="A4" s="310" t="s">
        <v>150</v>
      </c>
      <c r="B4" s="155" t="s">
        <v>146</v>
      </c>
      <c r="C4" s="157">
        <v>27</v>
      </c>
      <c r="D4" s="126">
        <v>0.85</v>
      </c>
      <c r="E4" s="256"/>
      <c r="F4" s="192" t="s">
        <v>144</v>
      </c>
      <c r="G4" s="190" t="s">
        <v>151</v>
      </c>
      <c r="J4" s="1" t="s">
        <v>151</v>
      </c>
      <c r="K4" s="27" t="s">
        <v>107</v>
      </c>
      <c r="L4" s="28">
        <v>1000000</v>
      </c>
      <c r="M4" s="29">
        <v>1000</v>
      </c>
      <c r="N4" s="29">
        <v>1</v>
      </c>
      <c r="O4" s="29">
        <v>1E-3</v>
      </c>
      <c r="P4" s="29">
        <v>1000000000</v>
      </c>
      <c r="Q4" s="29">
        <v>1000000</v>
      </c>
      <c r="R4" s="29">
        <v>1000</v>
      </c>
      <c r="S4" s="30">
        <v>1</v>
      </c>
      <c r="U4" s="27" t="s">
        <v>115</v>
      </c>
      <c r="V4" s="36">
        <v>9.9999999999999995E-7</v>
      </c>
      <c r="W4" s="35">
        <v>1E-3</v>
      </c>
      <c r="X4" s="35">
        <v>1</v>
      </c>
      <c r="Y4" s="35">
        <v>1000</v>
      </c>
      <c r="Z4" s="35">
        <v>1.0000000000000001E-9</v>
      </c>
      <c r="AA4" s="35">
        <v>9.9999999999999995E-7</v>
      </c>
      <c r="AB4" s="35">
        <v>1</v>
      </c>
      <c r="AC4" s="35">
        <v>1000</v>
      </c>
      <c r="AD4" s="35">
        <v>1.0000000000000001E-18</v>
      </c>
      <c r="AE4" s="35">
        <v>1.0000000000000001E-15</v>
      </c>
      <c r="AF4" s="35">
        <v>9.9999999999999998E-13</v>
      </c>
      <c r="AG4" s="35">
        <v>1.0000000000000001E-9</v>
      </c>
      <c r="AH4" s="39">
        <v>2.7799999999999998E-19</v>
      </c>
      <c r="AI4" s="39">
        <v>2.7799999999999998E-13</v>
      </c>
      <c r="AJ4" s="39">
        <v>2.7800000000000002E-10</v>
      </c>
      <c r="AK4" s="43">
        <v>2.7799999999999997E-7</v>
      </c>
      <c r="AM4" s="166" t="s">
        <v>131</v>
      </c>
      <c r="AN4" s="170">
        <v>100</v>
      </c>
      <c r="AO4" s="170">
        <v>10</v>
      </c>
      <c r="AP4" s="171">
        <v>1</v>
      </c>
      <c r="AQ4" s="171">
        <v>0.1</v>
      </c>
      <c r="AR4" s="171">
        <v>1E-4</v>
      </c>
      <c r="AS4" s="171">
        <v>1E-4</v>
      </c>
      <c r="AT4" s="171">
        <v>9.9999999999999995E-8</v>
      </c>
      <c r="AU4" s="172">
        <v>1E-10</v>
      </c>
      <c r="AW4" s="1" t="s">
        <v>152</v>
      </c>
      <c r="AX4" s="1"/>
      <c r="AY4" s="263"/>
    </row>
    <row r="5" spans="1:51" ht="15" thickBot="1" x14ac:dyDescent="0.35">
      <c r="A5" s="310" t="s">
        <v>153</v>
      </c>
      <c r="B5" s="155" t="s">
        <v>146</v>
      </c>
      <c r="C5" s="157">
        <v>27</v>
      </c>
      <c r="D5" s="185">
        <v>0.75</v>
      </c>
      <c r="E5" s="257"/>
      <c r="F5" s="192" t="s">
        <v>144</v>
      </c>
      <c r="G5" s="190" t="s">
        <v>154</v>
      </c>
      <c r="J5" s="1" t="s">
        <v>154</v>
      </c>
      <c r="K5" s="27" t="s">
        <v>108</v>
      </c>
      <c r="L5" s="28">
        <v>1000000000</v>
      </c>
      <c r="M5" s="29">
        <v>1000000</v>
      </c>
      <c r="N5" s="29">
        <v>1000</v>
      </c>
      <c r="O5" s="29">
        <v>1</v>
      </c>
      <c r="P5" s="29">
        <v>1000000000000</v>
      </c>
      <c r="Q5" s="29">
        <v>1000000000</v>
      </c>
      <c r="R5" s="29">
        <v>1000000</v>
      </c>
      <c r="S5" s="30">
        <v>1000</v>
      </c>
      <c r="U5" s="27" t="s">
        <v>116</v>
      </c>
      <c r="V5" s="36">
        <v>1.0000000000000001E-9</v>
      </c>
      <c r="W5" s="35">
        <v>9.9999999999999995E-7</v>
      </c>
      <c r="X5" s="35">
        <v>1E-3</v>
      </c>
      <c r="Y5" s="35">
        <v>1</v>
      </c>
      <c r="Z5" s="35">
        <v>9.9999999999999998E-13</v>
      </c>
      <c r="AA5" s="35">
        <v>9.9999999999999995E-7</v>
      </c>
      <c r="AB5" s="35">
        <v>1E-3</v>
      </c>
      <c r="AC5" s="35">
        <v>1</v>
      </c>
      <c r="AD5" s="35">
        <v>9.9999999999999991E-22</v>
      </c>
      <c r="AE5" s="35">
        <v>1.0000000000000001E-18</v>
      </c>
      <c r="AF5" s="35">
        <v>1.0000000000000001E-15</v>
      </c>
      <c r="AG5" s="35">
        <v>9.9999999999999998E-13</v>
      </c>
      <c r="AH5" s="39">
        <v>2.7800000000000001E-22</v>
      </c>
      <c r="AI5" s="39">
        <v>2.7799999999999998E-16</v>
      </c>
      <c r="AJ5" s="39">
        <v>2.7799999999999998E-13</v>
      </c>
      <c r="AK5" s="43">
        <v>2.7800000000000002E-10</v>
      </c>
      <c r="AM5" s="166" t="s">
        <v>132</v>
      </c>
      <c r="AN5" s="170">
        <v>1000</v>
      </c>
      <c r="AO5" s="170">
        <v>100</v>
      </c>
      <c r="AP5" s="171">
        <v>10</v>
      </c>
      <c r="AQ5" s="171">
        <v>1</v>
      </c>
      <c r="AR5" s="171">
        <v>1E-3</v>
      </c>
      <c r="AS5" s="171">
        <v>1E-3</v>
      </c>
      <c r="AT5" s="171">
        <v>9.9999999999999995E-7</v>
      </c>
      <c r="AU5" s="172">
        <v>1.0000000000000001E-9</v>
      </c>
      <c r="AW5" s="1"/>
      <c r="AX5" s="45"/>
      <c r="AY5" s="264" t="s">
        <v>155</v>
      </c>
    </row>
    <row r="6" spans="1:51" ht="15" thickBot="1" x14ac:dyDescent="0.35">
      <c r="A6" s="310" t="s">
        <v>156</v>
      </c>
      <c r="B6" s="155" t="s">
        <v>146</v>
      </c>
      <c r="C6" s="157">
        <v>40.200000000000003</v>
      </c>
      <c r="D6" s="185">
        <v>1.0349999999999999</v>
      </c>
      <c r="E6" s="256"/>
      <c r="F6" s="192" t="s">
        <v>140</v>
      </c>
      <c r="J6" s="1" t="s">
        <v>142</v>
      </c>
      <c r="K6" s="27" t="s">
        <v>109</v>
      </c>
      <c r="L6" s="28">
        <v>1E-3</v>
      </c>
      <c r="M6" s="29">
        <v>9.9999999999999995E-7</v>
      </c>
      <c r="N6" s="29">
        <v>1.0000000000000001E-9</v>
      </c>
      <c r="O6" s="29">
        <v>9.9999999999999998E-13</v>
      </c>
      <c r="P6" s="29">
        <v>1</v>
      </c>
      <c r="Q6" s="29">
        <v>1E-3</v>
      </c>
      <c r="R6" s="29">
        <v>9.9999999999999995E-7</v>
      </c>
      <c r="S6" s="30">
        <v>1.0000000000000001E-9</v>
      </c>
      <c r="U6" s="27" t="s">
        <v>117</v>
      </c>
      <c r="V6" s="36">
        <v>1000</v>
      </c>
      <c r="W6" s="35">
        <v>1000000</v>
      </c>
      <c r="X6" s="35">
        <v>1000000000</v>
      </c>
      <c r="Y6" s="35">
        <v>1000000000000</v>
      </c>
      <c r="Z6" s="35">
        <v>1</v>
      </c>
      <c r="AA6" s="35">
        <v>1000</v>
      </c>
      <c r="AB6" s="35">
        <v>1000000</v>
      </c>
      <c r="AC6" s="35">
        <v>1000000000</v>
      </c>
      <c r="AD6" s="35">
        <v>1.0000000000000001E-9</v>
      </c>
      <c r="AE6" s="35">
        <v>9.9999999999999995E-7</v>
      </c>
      <c r="AF6" s="35">
        <v>1E-3</v>
      </c>
      <c r="AG6" s="35">
        <v>1</v>
      </c>
      <c r="AH6" s="39">
        <v>2.7800000000000002E-10</v>
      </c>
      <c r="AI6" s="39">
        <v>2.7799999999999997E-7</v>
      </c>
      <c r="AJ6" s="39">
        <v>2.7799999999999998E-4</v>
      </c>
      <c r="AK6" s="43">
        <v>0.27800000000000002</v>
      </c>
      <c r="AM6" s="166" t="s">
        <v>133</v>
      </c>
      <c r="AN6" s="170">
        <v>1000000</v>
      </c>
      <c r="AO6" s="170">
        <v>100000</v>
      </c>
      <c r="AP6" s="171">
        <v>10000</v>
      </c>
      <c r="AQ6" s="171">
        <v>1000</v>
      </c>
      <c r="AR6" s="171">
        <v>1</v>
      </c>
      <c r="AS6" s="171">
        <v>1</v>
      </c>
      <c r="AT6" s="171">
        <v>1E-3</v>
      </c>
      <c r="AU6" s="172">
        <v>9.9999999999999995E-7</v>
      </c>
      <c r="AY6" s="264" t="s">
        <v>157</v>
      </c>
    </row>
    <row r="7" spans="1:51" ht="15" thickBot="1" x14ac:dyDescent="0.35">
      <c r="A7" s="310" t="s">
        <v>158</v>
      </c>
      <c r="B7" s="155" t="s">
        <v>152</v>
      </c>
      <c r="C7" s="157">
        <v>2.4700000000000002</v>
      </c>
      <c r="D7" s="258"/>
      <c r="E7" s="187">
        <v>1.25</v>
      </c>
      <c r="F7" s="192" t="s">
        <v>140</v>
      </c>
      <c r="J7" s="1" t="s">
        <v>148</v>
      </c>
      <c r="K7" s="27" t="s">
        <v>110</v>
      </c>
      <c r="L7" s="28">
        <v>1</v>
      </c>
      <c r="M7" s="29">
        <v>1E-3</v>
      </c>
      <c r="N7" s="29">
        <v>9.9999999999999995E-7</v>
      </c>
      <c r="O7" s="29">
        <v>1.0000000000000001E-9</v>
      </c>
      <c r="P7" s="29">
        <v>1000</v>
      </c>
      <c r="Q7" s="29">
        <v>1</v>
      </c>
      <c r="R7" s="29">
        <v>1E-3</v>
      </c>
      <c r="S7" s="30">
        <v>9.9999999999999995E-7</v>
      </c>
      <c r="U7" s="27" t="s">
        <v>118</v>
      </c>
      <c r="V7" s="36">
        <v>1</v>
      </c>
      <c r="W7" s="35">
        <v>1000</v>
      </c>
      <c r="X7" s="35">
        <v>1000000</v>
      </c>
      <c r="Y7" s="35">
        <v>1000000000</v>
      </c>
      <c r="Z7" s="35">
        <v>1E-3</v>
      </c>
      <c r="AA7" s="35">
        <v>1</v>
      </c>
      <c r="AB7" s="35">
        <v>1000</v>
      </c>
      <c r="AC7" s="35">
        <v>1000000</v>
      </c>
      <c r="AD7" s="35">
        <v>9.9999999999999998E-13</v>
      </c>
      <c r="AE7" s="35">
        <v>1.0000000000000001E-9</v>
      </c>
      <c r="AF7" s="35">
        <v>9.9999999999999995E-7</v>
      </c>
      <c r="AG7" s="35">
        <v>1E-3</v>
      </c>
      <c r="AH7" s="39">
        <v>2.7799999999999998E-13</v>
      </c>
      <c r="AI7" s="39">
        <v>2.7800000000000002E-10</v>
      </c>
      <c r="AJ7" s="39">
        <v>2.7799999999999997E-7</v>
      </c>
      <c r="AK7" s="43">
        <v>2.7799999999999998E-4</v>
      </c>
      <c r="AM7" s="166" t="s">
        <v>134</v>
      </c>
      <c r="AN7" s="170">
        <v>1000000</v>
      </c>
      <c r="AO7" s="170">
        <v>100000</v>
      </c>
      <c r="AP7" s="171">
        <v>10000</v>
      </c>
      <c r="AQ7" s="171">
        <v>1000</v>
      </c>
      <c r="AR7" s="171">
        <v>1</v>
      </c>
      <c r="AS7" s="171">
        <v>1</v>
      </c>
      <c r="AT7" s="171">
        <v>1E-3</v>
      </c>
      <c r="AU7" s="172">
        <v>9.9999999999999995E-7</v>
      </c>
      <c r="AY7" s="264" t="s">
        <v>159</v>
      </c>
    </row>
    <row r="8" spans="1:51" ht="15" thickBot="1" x14ac:dyDescent="0.35">
      <c r="A8" s="310" t="s">
        <v>160</v>
      </c>
      <c r="B8" s="155" t="s">
        <v>139</v>
      </c>
      <c r="C8" s="157">
        <v>20.7</v>
      </c>
      <c r="D8" s="258"/>
      <c r="E8" s="256"/>
      <c r="F8" s="192" t="s">
        <v>140</v>
      </c>
      <c r="K8" s="27" t="s">
        <v>111</v>
      </c>
      <c r="L8" s="28">
        <v>1000</v>
      </c>
      <c r="M8" s="29">
        <v>1</v>
      </c>
      <c r="N8" s="29">
        <v>1E-3</v>
      </c>
      <c r="O8" s="29">
        <v>1E-3</v>
      </c>
      <c r="P8" s="29">
        <v>1000000</v>
      </c>
      <c r="Q8" s="29">
        <v>1000</v>
      </c>
      <c r="R8" s="29">
        <v>1</v>
      </c>
      <c r="S8" s="30">
        <v>1E-3</v>
      </c>
      <c r="U8" s="27" t="s">
        <v>119</v>
      </c>
      <c r="V8" s="36">
        <v>1E-3</v>
      </c>
      <c r="W8" s="35">
        <v>1</v>
      </c>
      <c r="X8" s="35">
        <v>1000</v>
      </c>
      <c r="Y8" s="35">
        <v>1000000</v>
      </c>
      <c r="Z8" s="35">
        <v>9.9999999999999995E-7</v>
      </c>
      <c r="AA8" s="35">
        <v>1E-3</v>
      </c>
      <c r="AB8" s="35">
        <v>1</v>
      </c>
      <c r="AC8" s="35">
        <v>1000</v>
      </c>
      <c r="AD8" s="35">
        <v>1.0000000000000001E-15</v>
      </c>
      <c r="AE8" s="35">
        <v>9.9999999999999998E-13</v>
      </c>
      <c r="AF8" s="35">
        <v>1.0000000000000001E-9</v>
      </c>
      <c r="AG8" s="35">
        <v>9.9999999999999995E-7</v>
      </c>
      <c r="AH8" s="39">
        <v>2.7799999999999998E-16</v>
      </c>
      <c r="AI8" s="39">
        <v>2.7800000000000002E-10</v>
      </c>
      <c r="AJ8" s="39">
        <v>2.7799999999999997E-7</v>
      </c>
      <c r="AK8" s="43">
        <v>2.7799999999999998E-4</v>
      </c>
      <c r="AM8" s="166" t="s">
        <v>135</v>
      </c>
      <c r="AN8" s="170">
        <v>1000000000</v>
      </c>
      <c r="AO8" s="170">
        <v>100000000</v>
      </c>
      <c r="AP8" s="171">
        <v>10000000</v>
      </c>
      <c r="AQ8" s="171">
        <v>1000000</v>
      </c>
      <c r="AR8" s="171">
        <v>1000</v>
      </c>
      <c r="AS8" s="171">
        <v>1000</v>
      </c>
      <c r="AT8" s="171">
        <v>1</v>
      </c>
      <c r="AU8" s="172">
        <v>1E-3</v>
      </c>
      <c r="AY8" s="265"/>
    </row>
    <row r="9" spans="1:51" ht="15" thickBot="1" x14ac:dyDescent="0.35">
      <c r="A9" s="310" t="s">
        <v>161</v>
      </c>
      <c r="B9" s="155" t="s">
        <v>152</v>
      </c>
      <c r="C9" s="185">
        <v>45.57</v>
      </c>
      <c r="D9" s="258"/>
      <c r="E9" s="159">
        <v>2.5</v>
      </c>
      <c r="F9" s="192" t="s">
        <v>140</v>
      </c>
      <c r="K9" s="27" t="s">
        <v>112</v>
      </c>
      <c r="L9" s="31">
        <v>1000000</v>
      </c>
      <c r="M9" s="32">
        <v>1000</v>
      </c>
      <c r="N9" s="32">
        <v>1</v>
      </c>
      <c r="O9" s="32">
        <v>1E-3</v>
      </c>
      <c r="P9" s="32">
        <v>1000000000</v>
      </c>
      <c r="Q9" s="32">
        <v>1000000</v>
      </c>
      <c r="R9" s="32">
        <v>1000</v>
      </c>
      <c r="S9" s="33">
        <v>1</v>
      </c>
      <c r="U9" s="27" t="s">
        <v>120</v>
      </c>
      <c r="V9" s="36">
        <v>9.9999999999999995E-7</v>
      </c>
      <c r="W9" s="35">
        <v>1E-3</v>
      </c>
      <c r="X9" s="35">
        <v>1</v>
      </c>
      <c r="Y9" s="35">
        <v>1000</v>
      </c>
      <c r="Z9" s="35">
        <v>1.0000000000000001E-9</v>
      </c>
      <c r="AA9" s="35">
        <v>9.9999999999999995E-7</v>
      </c>
      <c r="AB9" s="35">
        <v>1</v>
      </c>
      <c r="AC9" s="35">
        <v>1000</v>
      </c>
      <c r="AD9" s="35">
        <v>1.0000000000000001E-18</v>
      </c>
      <c r="AE9" s="35">
        <v>1.0000000000000001E-15</v>
      </c>
      <c r="AF9" s="35">
        <v>9.9999999999999998E-13</v>
      </c>
      <c r="AG9" s="35">
        <v>1.0000000000000001E-9</v>
      </c>
      <c r="AH9" s="39">
        <v>2.7799999999999998E-19</v>
      </c>
      <c r="AI9" s="39">
        <v>2.7799999999999998E-13</v>
      </c>
      <c r="AJ9" s="39">
        <v>2.7800000000000002E-10</v>
      </c>
      <c r="AK9" s="43">
        <v>2.7799999999999997E-7</v>
      </c>
      <c r="AM9" s="166" t="s">
        <v>136</v>
      </c>
      <c r="AN9" s="173">
        <v>1000000000000</v>
      </c>
      <c r="AO9" s="173">
        <v>100000000000</v>
      </c>
      <c r="AP9" s="174">
        <v>10000000000</v>
      </c>
      <c r="AQ9" s="174">
        <v>1000000000</v>
      </c>
      <c r="AR9" s="174">
        <v>1000000</v>
      </c>
      <c r="AS9" s="174">
        <v>1000000</v>
      </c>
      <c r="AT9" s="174">
        <v>1000</v>
      </c>
      <c r="AU9" s="175">
        <v>1</v>
      </c>
      <c r="AY9" s="264" t="s">
        <v>162</v>
      </c>
    </row>
    <row r="10" spans="1:51" ht="15" thickBot="1" x14ac:dyDescent="0.35">
      <c r="A10" s="310" t="s">
        <v>163</v>
      </c>
      <c r="B10" s="155" t="s">
        <v>139</v>
      </c>
      <c r="C10" s="157">
        <v>28.2</v>
      </c>
      <c r="D10" s="258"/>
      <c r="E10" s="256"/>
      <c r="F10" s="192" t="s">
        <v>140</v>
      </c>
      <c r="U10" s="27" t="s">
        <v>123</v>
      </c>
      <c r="V10" s="36">
        <v>1000000</v>
      </c>
      <c r="W10" s="35">
        <v>1000000000</v>
      </c>
      <c r="X10" s="35">
        <v>1000000000000</v>
      </c>
      <c r="Y10" s="35">
        <v>1000000000000000</v>
      </c>
      <c r="Z10" s="35">
        <v>1000</v>
      </c>
      <c r="AA10" s="35">
        <v>1000000</v>
      </c>
      <c r="AB10" s="35">
        <v>1000000000</v>
      </c>
      <c r="AC10" s="35">
        <v>1000000000000</v>
      </c>
      <c r="AD10" s="35">
        <v>9.9999999999999995E-7</v>
      </c>
      <c r="AE10" s="35">
        <v>1E-3</v>
      </c>
      <c r="AF10" s="35">
        <v>1</v>
      </c>
      <c r="AG10" s="35">
        <v>1000</v>
      </c>
      <c r="AH10" s="39">
        <v>2.7780000000000001E-7</v>
      </c>
      <c r="AI10" s="39">
        <v>2.777778E-4</v>
      </c>
      <c r="AJ10" s="39">
        <v>0.27777777780000001</v>
      </c>
      <c r="AK10" s="43">
        <v>277.77777780000002</v>
      </c>
      <c r="AY10" s="265"/>
    </row>
    <row r="11" spans="1:51" ht="15" thickBot="1" x14ac:dyDescent="0.35">
      <c r="A11" s="310" t="s">
        <v>164</v>
      </c>
      <c r="B11" s="155" t="s">
        <v>152</v>
      </c>
      <c r="C11" s="157">
        <v>38.700000000000003</v>
      </c>
      <c r="D11" s="258"/>
      <c r="E11" s="187">
        <v>0.47499999999999998</v>
      </c>
      <c r="F11" s="192" t="s">
        <v>140</v>
      </c>
      <c r="U11" s="27" t="s">
        <v>124</v>
      </c>
      <c r="V11" s="36">
        <v>1000</v>
      </c>
      <c r="W11" s="35">
        <v>1000000</v>
      </c>
      <c r="X11" s="35">
        <v>1000000000</v>
      </c>
      <c r="Y11" s="35">
        <v>1000000000000</v>
      </c>
      <c r="Z11" s="35">
        <v>1</v>
      </c>
      <c r="AA11" s="35">
        <v>1000</v>
      </c>
      <c r="AB11" s="35">
        <v>1000000</v>
      </c>
      <c r="AC11" s="35">
        <v>1000000000</v>
      </c>
      <c r="AD11" s="35">
        <v>1.0000000000000001E-9</v>
      </c>
      <c r="AE11" s="35">
        <v>9.9999999999999995E-7</v>
      </c>
      <c r="AF11" s="35">
        <v>1E-3</v>
      </c>
      <c r="AG11" s="35">
        <v>1</v>
      </c>
      <c r="AH11" s="39">
        <v>2.7800000000000002E-10</v>
      </c>
      <c r="AI11" s="39">
        <v>2.7780000000000001E-7</v>
      </c>
      <c r="AJ11" s="39">
        <v>2.777778E-4</v>
      </c>
      <c r="AK11" s="43">
        <v>0.27777777780000001</v>
      </c>
      <c r="AY11" s="264" t="s">
        <v>165</v>
      </c>
    </row>
    <row r="12" spans="1:51" ht="15" thickBot="1" x14ac:dyDescent="0.35">
      <c r="A12" s="310" t="s">
        <v>166</v>
      </c>
      <c r="B12" s="155" t="s">
        <v>139</v>
      </c>
      <c r="C12" s="157">
        <v>28.2</v>
      </c>
      <c r="D12" s="258"/>
      <c r="E12" s="256"/>
      <c r="F12" s="192" t="s">
        <v>140</v>
      </c>
      <c r="U12" s="21" t="s">
        <v>125</v>
      </c>
      <c r="V12" s="40">
        <v>3600000000000</v>
      </c>
      <c r="W12" s="39">
        <v>3600000000000000</v>
      </c>
      <c r="X12" s="39">
        <v>3.6E+18</v>
      </c>
      <c r="Y12" s="39">
        <v>3.6E+21</v>
      </c>
      <c r="Z12" s="39">
        <v>3600000000</v>
      </c>
      <c r="AA12" s="39">
        <v>3600000000000</v>
      </c>
      <c r="AB12" s="39">
        <v>3600000000000000</v>
      </c>
      <c r="AC12" s="39">
        <v>3.6E+18</v>
      </c>
      <c r="AD12" s="39">
        <v>3.6</v>
      </c>
      <c r="AE12" s="39">
        <v>3600</v>
      </c>
      <c r="AF12" s="39">
        <v>3600000</v>
      </c>
      <c r="AG12" s="39">
        <v>3600000000</v>
      </c>
      <c r="AH12" s="39">
        <v>1</v>
      </c>
      <c r="AI12" s="39">
        <v>1000</v>
      </c>
      <c r="AJ12" s="39">
        <v>1000000</v>
      </c>
      <c r="AK12" s="43">
        <v>1000000000</v>
      </c>
      <c r="AY12" s="263"/>
    </row>
    <row r="13" spans="1:51" ht="15" thickBot="1" x14ac:dyDescent="0.35">
      <c r="A13" s="310" t="s">
        <v>167</v>
      </c>
      <c r="B13" s="155" t="s">
        <v>146</v>
      </c>
      <c r="C13" s="157">
        <v>42.3</v>
      </c>
      <c r="D13" s="126">
        <v>0.8</v>
      </c>
      <c r="E13" s="256"/>
      <c r="F13" s="192" t="s">
        <v>140</v>
      </c>
      <c r="U13" s="21" t="s">
        <v>126</v>
      </c>
      <c r="V13" s="40">
        <v>3600000000</v>
      </c>
      <c r="W13" s="39">
        <v>3600000000000</v>
      </c>
      <c r="X13" s="39">
        <v>3600000000000000</v>
      </c>
      <c r="Y13" s="39">
        <v>3.6E+18</v>
      </c>
      <c r="Z13" s="39">
        <v>3600000</v>
      </c>
      <c r="AA13" s="39">
        <v>3600000000</v>
      </c>
      <c r="AB13" s="39">
        <v>3600000000000</v>
      </c>
      <c r="AC13" s="39">
        <v>3600000000000000</v>
      </c>
      <c r="AD13" s="39">
        <v>3.5999999999999999E-3</v>
      </c>
      <c r="AE13" s="39">
        <v>3.6</v>
      </c>
      <c r="AF13" s="39">
        <v>3600</v>
      </c>
      <c r="AG13" s="39">
        <v>3600000</v>
      </c>
      <c r="AH13" s="39">
        <v>1E-3</v>
      </c>
      <c r="AI13" s="39">
        <v>1</v>
      </c>
      <c r="AJ13" s="39">
        <v>1000</v>
      </c>
      <c r="AK13" s="43">
        <v>1000000</v>
      </c>
      <c r="AY13" s="263"/>
    </row>
    <row r="14" spans="1:51" x14ac:dyDescent="0.3">
      <c r="A14" s="310" t="s">
        <v>168</v>
      </c>
      <c r="B14" s="155" t="s">
        <v>152</v>
      </c>
      <c r="C14" s="157">
        <v>46.4</v>
      </c>
      <c r="D14" s="158"/>
      <c r="E14" s="159">
        <v>1.3</v>
      </c>
      <c r="F14" s="192" t="s">
        <v>140</v>
      </c>
      <c r="AY14" s="263"/>
    </row>
    <row r="15" spans="1:51" x14ac:dyDescent="0.3">
      <c r="A15" s="310" t="s">
        <v>169</v>
      </c>
      <c r="B15" s="155" t="s">
        <v>152</v>
      </c>
      <c r="C15" s="157">
        <v>28.2</v>
      </c>
      <c r="D15" s="158"/>
      <c r="E15" s="187">
        <v>0.54</v>
      </c>
      <c r="F15" s="192" t="s">
        <v>140</v>
      </c>
      <c r="AY15" s="264" t="s">
        <v>170</v>
      </c>
    </row>
    <row r="16" spans="1:51" x14ac:dyDescent="0.3">
      <c r="A16" s="310" t="s">
        <v>171</v>
      </c>
      <c r="B16" s="155" t="s">
        <v>146</v>
      </c>
      <c r="C16" s="157">
        <v>43</v>
      </c>
      <c r="D16" s="160">
        <v>0.84</v>
      </c>
      <c r="E16" s="259"/>
      <c r="F16" s="192" t="s">
        <v>140</v>
      </c>
      <c r="AY16" s="265"/>
    </row>
    <row r="17" spans="1:51" x14ac:dyDescent="0.3">
      <c r="A17" s="310" t="s">
        <v>172</v>
      </c>
      <c r="B17" s="155" t="s">
        <v>146</v>
      </c>
      <c r="C17" s="157">
        <v>44.3</v>
      </c>
      <c r="D17" s="185">
        <v>0.81</v>
      </c>
      <c r="E17" s="256"/>
      <c r="F17" s="192" t="s">
        <v>140</v>
      </c>
      <c r="AY17" s="264" t="s">
        <v>173</v>
      </c>
    </row>
    <row r="18" spans="1:51" x14ac:dyDescent="0.3">
      <c r="A18" s="310" t="s">
        <v>174</v>
      </c>
      <c r="B18" s="155" t="s">
        <v>146</v>
      </c>
      <c r="C18" s="157">
        <v>44.1</v>
      </c>
      <c r="D18" s="126">
        <v>0.79</v>
      </c>
      <c r="E18" s="256"/>
      <c r="F18" s="192" t="s">
        <v>140</v>
      </c>
      <c r="AY18" s="263"/>
    </row>
    <row r="19" spans="1:51" x14ac:dyDescent="0.3">
      <c r="A19" s="310" t="s">
        <v>175</v>
      </c>
      <c r="B19" s="155" t="s">
        <v>146</v>
      </c>
      <c r="C19" s="157">
        <v>43.8</v>
      </c>
      <c r="D19" s="126">
        <v>0.8</v>
      </c>
      <c r="E19" s="256"/>
      <c r="F19" s="192" t="s">
        <v>140</v>
      </c>
      <c r="AY19" s="263"/>
    </row>
    <row r="20" spans="1:51" x14ac:dyDescent="0.3">
      <c r="A20" s="310" t="s">
        <v>176</v>
      </c>
      <c r="B20" s="155" t="s">
        <v>152</v>
      </c>
      <c r="C20" s="157">
        <v>50.4</v>
      </c>
      <c r="D20" s="258"/>
      <c r="E20" s="159">
        <v>0.9</v>
      </c>
      <c r="F20" s="192" t="s">
        <v>144</v>
      </c>
      <c r="AY20" s="263"/>
    </row>
    <row r="21" spans="1:51" x14ac:dyDescent="0.3">
      <c r="A21" s="310" t="s">
        <v>177</v>
      </c>
      <c r="B21" s="155" t="s">
        <v>139</v>
      </c>
      <c r="C21" s="157">
        <v>11.9</v>
      </c>
      <c r="D21" s="258"/>
      <c r="E21" s="256"/>
      <c r="F21" s="192" t="s">
        <v>140</v>
      </c>
      <c r="AY21" s="263"/>
    </row>
    <row r="22" spans="1:51" x14ac:dyDescent="0.3">
      <c r="A22" s="310" t="s">
        <v>178</v>
      </c>
      <c r="B22" s="155" t="s">
        <v>146</v>
      </c>
      <c r="C22" s="157">
        <v>47.3</v>
      </c>
      <c r="D22" s="126">
        <v>0.54</v>
      </c>
      <c r="E22" s="256"/>
      <c r="F22" s="192" t="s">
        <v>140</v>
      </c>
      <c r="AY22" s="263"/>
    </row>
    <row r="23" spans="1:51" x14ac:dyDescent="0.3">
      <c r="A23" s="310" t="s">
        <v>179</v>
      </c>
      <c r="B23" s="155" t="s">
        <v>146</v>
      </c>
      <c r="C23" s="157">
        <v>40.200000000000003</v>
      </c>
      <c r="D23" s="126">
        <v>1</v>
      </c>
      <c r="E23" s="256"/>
      <c r="F23" s="192" t="s">
        <v>140</v>
      </c>
      <c r="AY23" s="263"/>
    </row>
    <row r="24" spans="1:51" x14ac:dyDescent="0.3">
      <c r="A24" s="310" t="s">
        <v>180</v>
      </c>
      <c r="B24" s="155" t="s">
        <v>152</v>
      </c>
      <c r="C24" s="185">
        <v>50</v>
      </c>
      <c r="D24" s="258"/>
      <c r="E24" s="159">
        <v>0.67</v>
      </c>
      <c r="F24" s="192" t="s">
        <v>140</v>
      </c>
      <c r="AY24" s="264" t="s">
        <v>181</v>
      </c>
    </row>
    <row r="25" spans="1:51" x14ac:dyDescent="0.3">
      <c r="A25" s="310" t="s">
        <v>182</v>
      </c>
      <c r="B25" s="155" t="s">
        <v>146</v>
      </c>
      <c r="C25" s="157">
        <v>44.3</v>
      </c>
      <c r="D25" s="126">
        <v>0.74</v>
      </c>
      <c r="E25" s="256"/>
      <c r="F25" s="192" t="s">
        <v>140</v>
      </c>
      <c r="AY25" s="263"/>
    </row>
    <row r="26" spans="1:51" x14ac:dyDescent="0.3">
      <c r="A26" s="310" t="s">
        <v>183</v>
      </c>
      <c r="B26" s="155" t="s">
        <v>139</v>
      </c>
      <c r="C26" s="157">
        <v>11.6</v>
      </c>
      <c r="D26" s="258"/>
      <c r="E26" s="256"/>
      <c r="F26" s="192" t="s">
        <v>144</v>
      </c>
      <c r="AY26" s="263"/>
    </row>
    <row r="27" spans="1:51" x14ac:dyDescent="0.3">
      <c r="A27" s="311" t="s">
        <v>184</v>
      </c>
      <c r="B27" s="155" t="s">
        <v>139</v>
      </c>
      <c r="C27" s="157">
        <v>10</v>
      </c>
      <c r="D27" s="258"/>
      <c r="E27" s="256"/>
      <c r="F27" s="192" t="s">
        <v>140</v>
      </c>
      <c r="AY27" s="263"/>
    </row>
    <row r="28" spans="1:51" x14ac:dyDescent="0.3">
      <c r="A28" s="310" t="s">
        <v>185</v>
      </c>
      <c r="B28" s="155" t="s">
        <v>146</v>
      </c>
      <c r="C28" s="157">
        <v>44.5</v>
      </c>
      <c r="D28" s="126">
        <v>0.77</v>
      </c>
      <c r="E28" s="256"/>
      <c r="F28" s="192" t="s">
        <v>140</v>
      </c>
      <c r="AY28" s="263"/>
    </row>
    <row r="29" spans="1:51" x14ac:dyDescent="0.3">
      <c r="A29" s="310" t="s">
        <v>186</v>
      </c>
      <c r="B29" s="155" t="s">
        <v>152</v>
      </c>
      <c r="C29" s="157">
        <v>48</v>
      </c>
      <c r="D29" s="258"/>
      <c r="E29" s="159">
        <v>0.7</v>
      </c>
      <c r="F29" s="192" t="s">
        <v>140</v>
      </c>
      <c r="AY29" s="263"/>
    </row>
    <row r="30" spans="1:51" x14ac:dyDescent="0.3">
      <c r="A30" s="310" t="s">
        <v>187</v>
      </c>
      <c r="B30" s="155" t="s">
        <v>146</v>
      </c>
      <c r="C30" s="157">
        <v>44.2</v>
      </c>
      <c r="D30" s="126">
        <v>0.47</v>
      </c>
      <c r="E30" s="256"/>
      <c r="F30" s="192" t="s">
        <v>140</v>
      </c>
      <c r="AY30" s="263"/>
    </row>
    <row r="31" spans="1:51" x14ac:dyDescent="0.3">
      <c r="A31" s="310" t="s">
        <v>188</v>
      </c>
      <c r="B31" s="155" t="s">
        <v>146</v>
      </c>
      <c r="C31" s="157">
        <v>8.9</v>
      </c>
      <c r="D31" s="185">
        <v>0.95</v>
      </c>
      <c r="E31" s="256"/>
      <c r="F31" s="192" t="s">
        <v>140</v>
      </c>
      <c r="AY31" s="264" t="s">
        <v>189</v>
      </c>
    </row>
    <row r="32" spans="1:51" x14ac:dyDescent="0.3">
      <c r="A32" s="310" t="s">
        <v>190</v>
      </c>
      <c r="B32" s="155" t="s">
        <v>146</v>
      </c>
      <c r="C32" s="157">
        <v>27.5</v>
      </c>
      <c r="D32" s="185">
        <v>1.1299999999999999</v>
      </c>
      <c r="E32" s="256"/>
      <c r="F32" s="192" t="s">
        <v>140</v>
      </c>
      <c r="AY32" s="264" t="s">
        <v>191</v>
      </c>
    </row>
    <row r="33" spans="1:51" x14ac:dyDescent="0.3">
      <c r="A33" s="310" t="s">
        <v>192</v>
      </c>
      <c r="B33" s="155" t="s">
        <v>152</v>
      </c>
      <c r="C33" s="157">
        <v>7.06</v>
      </c>
      <c r="D33" s="258"/>
      <c r="E33" s="187">
        <v>1.33</v>
      </c>
      <c r="F33" s="192" t="s">
        <v>140</v>
      </c>
      <c r="AY33" s="264" t="s">
        <v>193</v>
      </c>
    </row>
    <row r="34" spans="1:51" x14ac:dyDescent="0.3">
      <c r="A34" s="310" t="s">
        <v>194</v>
      </c>
      <c r="B34" s="155" t="s">
        <v>139</v>
      </c>
      <c r="C34" s="157">
        <v>40.200000000000003</v>
      </c>
      <c r="D34" s="258"/>
      <c r="E34" s="256"/>
      <c r="F34" s="192" t="s">
        <v>140</v>
      </c>
      <c r="AY34" s="263"/>
    </row>
    <row r="35" spans="1:51" x14ac:dyDescent="0.3">
      <c r="A35" s="310" t="s">
        <v>195</v>
      </c>
      <c r="B35" s="155" t="s">
        <v>139</v>
      </c>
      <c r="C35" s="157">
        <v>20.7</v>
      </c>
      <c r="D35" s="258"/>
      <c r="E35" s="256"/>
      <c r="F35" s="192" t="s">
        <v>140</v>
      </c>
      <c r="AY35" s="263"/>
    </row>
    <row r="36" spans="1:51" x14ac:dyDescent="0.3">
      <c r="A36" s="310" t="s">
        <v>196</v>
      </c>
      <c r="B36" s="155" t="s">
        <v>139</v>
      </c>
      <c r="C36" s="157">
        <v>9.76</v>
      </c>
      <c r="D36" s="258"/>
      <c r="E36" s="256"/>
      <c r="F36" s="192" t="s">
        <v>140</v>
      </c>
      <c r="AY36" s="263"/>
    </row>
    <row r="37" spans="1:51" x14ac:dyDescent="0.3">
      <c r="A37" s="310" t="s">
        <v>197</v>
      </c>
      <c r="B37" s="155" t="s">
        <v>139</v>
      </c>
      <c r="C37" s="157">
        <v>32.5</v>
      </c>
      <c r="D37" s="258"/>
      <c r="E37" s="256"/>
      <c r="F37" s="192" t="s">
        <v>140</v>
      </c>
      <c r="AY37" s="263"/>
    </row>
    <row r="38" spans="1:51" x14ac:dyDescent="0.3">
      <c r="A38" s="310" t="s">
        <v>198</v>
      </c>
      <c r="B38" s="155" t="s">
        <v>152</v>
      </c>
      <c r="C38" s="185">
        <v>46.32</v>
      </c>
      <c r="D38" s="258"/>
      <c r="E38" s="159">
        <v>1.9</v>
      </c>
      <c r="F38" s="192" t="s">
        <v>140</v>
      </c>
      <c r="AY38" s="264" t="s">
        <v>199</v>
      </c>
    </row>
    <row r="39" spans="1:51" x14ac:dyDescent="0.3">
      <c r="A39" s="310" t="s">
        <v>200</v>
      </c>
      <c r="B39" s="155" t="s">
        <v>146</v>
      </c>
      <c r="C39" s="157">
        <v>43</v>
      </c>
      <c r="D39" s="185">
        <v>0.82499999999999996</v>
      </c>
      <c r="E39" s="256"/>
      <c r="F39" s="192" t="s">
        <v>140</v>
      </c>
      <c r="AY39" s="264" t="s">
        <v>201</v>
      </c>
    </row>
    <row r="40" spans="1:51" x14ac:dyDescent="0.3">
      <c r="A40" s="310" t="s">
        <v>202</v>
      </c>
      <c r="B40" s="155" t="s">
        <v>152</v>
      </c>
      <c r="C40" s="157">
        <v>49.5</v>
      </c>
      <c r="D40" s="258"/>
      <c r="E40" s="187">
        <v>0.88</v>
      </c>
      <c r="F40" s="192" t="s">
        <v>140</v>
      </c>
      <c r="AY40" s="264" t="s">
        <v>203</v>
      </c>
    </row>
    <row r="41" spans="1:51" x14ac:dyDescent="0.3">
      <c r="A41" s="310" t="s">
        <v>204</v>
      </c>
      <c r="B41" s="155" t="s">
        <v>146</v>
      </c>
      <c r="C41" s="157">
        <v>40.4</v>
      </c>
      <c r="D41" s="126">
        <v>0.94</v>
      </c>
      <c r="E41" s="256"/>
      <c r="F41" s="192" t="s">
        <v>140</v>
      </c>
      <c r="AY41" s="263"/>
    </row>
    <row r="42" spans="1:51" x14ac:dyDescent="0.3">
      <c r="A42" s="310" t="s">
        <v>205</v>
      </c>
      <c r="B42" s="155" t="s">
        <v>146</v>
      </c>
      <c r="C42" s="157">
        <v>38.1</v>
      </c>
      <c r="D42" s="126">
        <v>1</v>
      </c>
      <c r="E42" s="256"/>
      <c r="F42" s="192" t="s">
        <v>140</v>
      </c>
      <c r="AY42" s="263"/>
    </row>
    <row r="43" spans="1:51" x14ac:dyDescent="0.3">
      <c r="A43" s="310" t="s">
        <v>206</v>
      </c>
      <c r="B43" s="155" t="s">
        <v>152</v>
      </c>
      <c r="C43" s="157">
        <v>50.4</v>
      </c>
      <c r="D43" s="258"/>
      <c r="E43" s="159">
        <v>0.67</v>
      </c>
      <c r="F43" s="192" t="s">
        <v>144</v>
      </c>
      <c r="AY43" s="263"/>
    </row>
    <row r="44" spans="1:51" x14ac:dyDescent="0.3">
      <c r="A44" s="310" t="s">
        <v>207</v>
      </c>
      <c r="B44" s="155" t="s">
        <v>139</v>
      </c>
      <c r="C44" s="157">
        <v>18.899999999999999</v>
      </c>
      <c r="D44" s="258"/>
      <c r="E44" s="256"/>
      <c r="F44" s="192" t="s">
        <v>140</v>
      </c>
      <c r="AY44" s="263"/>
    </row>
    <row r="45" spans="1:51" x14ac:dyDescent="0.3">
      <c r="A45" s="310" t="s">
        <v>208</v>
      </c>
      <c r="B45" s="155" t="s">
        <v>146</v>
      </c>
      <c r="C45" s="157">
        <v>11.8</v>
      </c>
      <c r="D45" s="185">
        <v>1.2</v>
      </c>
      <c r="E45" s="256"/>
      <c r="F45" s="192" t="s">
        <v>144</v>
      </c>
      <c r="AY45" s="264" t="s">
        <v>209</v>
      </c>
    </row>
    <row r="46" spans="1:51" x14ac:dyDescent="0.3">
      <c r="A46" s="310" t="s">
        <v>210</v>
      </c>
      <c r="B46" s="155" t="s">
        <v>146</v>
      </c>
      <c r="C46" s="185">
        <v>44.4</v>
      </c>
      <c r="D46" s="126">
        <v>0.87</v>
      </c>
      <c r="E46" s="256"/>
      <c r="F46" s="192" t="s">
        <v>144</v>
      </c>
      <c r="AY46" s="264" t="s">
        <v>211</v>
      </c>
    </row>
    <row r="47" spans="1:51" x14ac:dyDescent="0.3">
      <c r="A47" s="310" t="s">
        <v>212</v>
      </c>
      <c r="B47" s="155" t="s">
        <v>146</v>
      </c>
      <c r="C47" s="185">
        <v>37.799999999999997</v>
      </c>
      <c r="D47" s="126">
        <v>0.9</v>
      </c>
      <c r="E47" s="256"/>
      <c r="F47" s="192" t="s">
        <v>140</v>
      </c>
      <c r="AY47" s="264" t="s">
        <v>213</v>
      </c>
    </row>
    <row r="48" spans="1:51" x14ac:dyDescent="0.3">
      <c r="A48" s="310" t="s">
        <v>214</v>
      </c>
      <c r="B48" s="155" t="s">
        <v>146</v>
      </c>
      <c r="C48" s="157">
        <v>40.200000000000003</v>
      </c>
      <c r="D48" s="185">
        <v>0.8</v>
      </c>
      <c r="E48" s="256"/>
      <c r="F48" s="192" t="s">
        <v>140</v>
      </c>
      <c r="AY48" s="264" t="s">
        <v>215</v>
      </c>
    </row>
    <row r="49" spans="1:51" x14ac:dyDescent="0.3">
      <c r="A49" s="310" t="s">
        <v>216</v>
      </c>
      <c r="B49" s="155" t="s">
        <v>152</v>
      </c>
      <c r="C49" s="185">
        <v>35</v>
      </c>
      <c r="D49" s="258"/>
      <c r="E49" s="159">
        <v>0.9</v>
      </c>
      <c r="F49" s="192" t="s">
        <v>144</v>
      </c>
      <c r="AY49" s="264" t="s">
        <v>217</v>
      </c>
    </row>
    <row r="50" spans="1:51" x14ac:dyDescent="0.3">
      <c r="A50" s="310" t="s">
        <v>218</v>
      </c>
      <c r="B50" s="155" t="s">
        <v>146</v>
      </c>
      <c r="C50" s="157">
        <v>40.200000000000003</v>
      </c>
      <c r="D50" s="185">
        <v>0.75</v>
      </c>
      <c r="E50" s="256"/>
      <c r="F50" s="192" t="s">
        <v>140</v>
      </c>
      <c r="AY50" s="264" t="s">
        <v>219</v>
      </c>
    </row>
    <row r="51" spans="1:51" x14ac:dyDescent="0.3">
      <c r="A51" s="312" t="s">
        <v>220</v>
      </c>
      <c r="B51" s="155" t="s">
        <v>139</v>
      </c>
      <c r="C51" s="161">
        <v>15.6</v>
      </c>
      <c r="D51" s="260"/>
      <c r="E51" s="261"/>
      <c r="F51" s="192" t="s">
        <v>144</v>
      </c>
      <c r="AY51" s="263"/>
    </row>
    <row r="52" spans="1:51" x14ac:dyDescent="0.3">
      <c r="A52" s="162" t="s">
        <v>221</v>
      </c>
      <c r="B52" s="163"/>
      <c r="C52" s="163"/>
      <c r="D52" s="163"/>
      <c r="E52" s="188"/>
      <c r="F52" s="163"/>
      <c r="AY52" s="263"/>
    </row>
    <row r="53" spans="1:51" x14ac:dyDescent="0.3">
      <c r="A53" s="162" t="s">
        <v>222</v>
      </c>
      <c r="B53" s="163"/>
      <c r="C53" s="163"/>
      <c r="D53" s="163"/>
      <c r="E53" s="188"/>
      <c r="F53" s="163"/>
      <c r="AY53" s="263"/>
    </row>
    <row r="54" spans="1:51" x14ac:dyDescent="0.3">
      <c r="A54" s="162" t="s">
        <v>223</v>
      </c>
      <c r="B54" s="163"/>
      <c r="C54" s="163"/>
      <c r="D54" s="163"/>
      <c r="E54" s="188"/>
      <c r="F54" s="163"/>
      <c r="AY54" s="263"/>
    </row>
    <row r="55" spans="1:51" x14ac:dyDescent="0.3">
      <c r="A55" s="162" t="s">
        <v>224</v>
      </c>
      <c r="B55" s="163"/>
      <c r="C55" s="163"/>
      <c r="D55" s="163"/>
      <c r="E55" s="188"/>
      <c r="F55" s="163"/>
      <c r="AY55" s="263"/>
    </row>
    <row r="56" spans="1:51" x14ac:dyDescent="0.3">
      <c r="A56" s="162" t="s">
        <v>225</v>
      </c>
      <c r="B56" s="163"/>
      <c r="C56" s="163"/>
      <c r="D56" s="163"/>
      <c r="E56" s="188"/>
      <c r="F56" s="163"/>
      <c r="AY56" s="263"/>
    </row>
    <row r="57" spans="1:51" x14ac:dyDescent="0.3">
      <c r="A57" s="162" t="s">
        <v>226</v>
      </c>
      <c r="B57" s="163"/>
      <c r="C57" s="163"/>
      <c r="D57" s="163"/>
      <c r="E57" s="188"/>
      <c r="F57" s="163"/>
      <c r="AY57" s="263"/>
    </row>
    <row r="58" spans="1:51" x14ac:dyDescent="0.3">
      <c r="A58" s="162" t="s">
        <v>227</v>
      </c>
      <c r="B58" s="163"/>
      <c r="C58" s="163"/>
      <c r="D58" s="163"/>
      <c r="E58" s="188"/>
      <c r="F58" s="163"/>
      <c r="AY58" s="263"/>
    </row>
    <row r="59" spans="1:51" x14ac:dyDescent="0.3">
      <c r="A59" s="162" t="s">
        <v>228</v>
      </c>
      <c r="B59" s="163"/>
      <c r="C59" s="163"/>
      <c r="D59" s="163"/>
      <c r="E59" s="188"/>
      <c r="F59" s="163"/>
      <c r="AY59" s="263"/>
    </row>
    <row r="60" spans="1:51" x14ac:dyDescent="0.3">
      <c r="A60" s="162" t="s">
        <v>229</v>
      </c>
      <c r="B60" s="163"/>
      <c r="C60" s="163"/>
      <c r="D60" s="163"/>
      <c r="E60" s="188"/>
      <c r="F60" s="163"/>
      <c r="AY60" s="263"/>
    </row>
    <row r="61" spans="1:51" ht="15" thickBot="1" x14ac:dyDescent="0.35">
      <c r="A61" s="193" t="s">
        <v>230</v>
      </c>
      <c r="B61" s="163"/>
      <c r="C61" s="194"/>
      <c r="D61" s="194"/>
      <c r="E61" s="195"/>
      <c r="F61" s="163"/>
      <c r="AY61" s="263"/>
    </row>
    <row r="62" spans="1:51" x14ac:dyDescent="0.3">
      <c r="A62" s="1185" t="s">
        <v>231</v>
      </c>
      <c r="B62" s="1186"/>
      <c r="C62" s="1186"/>
      <c r="D62" s="1186"/>
      <c r="E62" s="1186"/>
      <c r="F62" s="1186"/>
      <c r="G62" s="1186"/>
      <c r="H62" s="1186"/>
      <c r="I62" s="1186"/>
      <c r="J62" s="1186"/>
      <c r="K62" s="1186"/>
      <c r="L62" s="1186"/>
      <c r="M62" s="1186"/>
      <c r="N62" s="1186"/>
      <c r="O62" s="1186"/>
      <c r="P62" s="1186"/>
      <c r="Q62" s="1186"/>
      <c r="R62" s="1186"/>
      <c r="S62" s="1186"/>
      <c r="T62" s="1186"/>
      <c r="U62" s="1186"/>
      <c r="V62" s="1186"/>
      <c r="W62" s="1186"/>
      <c r="X62" s="1186"/>
      <c r="Y62" s="1186"/>
      <c r="Z62" s="1186"/>
      <c r="AA62" s="1186"/>
      <c r="AB62" s="1186"/>
      <c r="AC62" s="1186"/>
      <c r="AD62" s="1186"/>
      <c r="AE62" s="1186"/>
      <c r="AF62" s="1186"/>
      <c r="AG62" s="1186"/>
      <c r="AH62" s="1186"/>
      <c r="AI62" s="1186"/>
      <c r="AJ62" s="1186"/>
      <c r="AK62" s="1186"/>
      <c r="AL62" s="1186"/>
      <c r="AM62" s="1186"/>
      <c r="AN62" s="1186"/>
      <c r="AO62" s="1186"/>
      <c r="AP62" s="1186"/>
      <c r="AQ62" s="1186"/>
      <c r="AR62" s="1186"/>
      <c r="AS62" s="1186"/>
      <c r="AT62" s="1186"/>
      <c r="AU62" s="1186"/>
      <c r="AV62" s="1186"/>
      <c r="AW62" s="1186"/>
      <c r="AX62" s="1186"/>
      <c r="AY62" s="1187"/>
    </row>
    <row r="63" spans="1:51" ht="43.95" customHeight="1" x14ac:dyDescent="0.3">
      <c r="A63" s="1188" t="s">
        <v>232</v>
      </c>
      <c r="B63" s="1189"/>
      <c r="C63" s="1189"/>
      <c r="D63" s="1189"/>
      <c r="E63" s="1189"/>
      <c r="F63" s="1189"/>
      <c r="G63" s="1189"/>
      <c r="H63" s="1189"/>
      <c r="I63" s="1189"/>
      <c r="J63" s="1189"/>
      <c r="K63" s="1189"/>
      <c r="L63" s="1189"/>
      <c r="M63" s="1189"/>
      <c r="N63" s="1189"/>
      <c r="O63" s="1189"/>
      <c r="P63" s="1189"/>
      <c r="Q63" s="1189"/>
      <c r="R63" s="1189"/>
      <c r="S63" s="1189"/>
      <c r="T63" s="1189"/>
      <c r="U63" s="1189"/>
      <c r="V63" s="1189"/>
      <c r="W63" s="1189"/>
      <c r="X63" s="1189"/>
      <c r="Y63" s="1189"/>
      <c r="Z63" s="1189"/>
      <c r="AA63" s="1189"/>
      <c r="AB63" s="1189"/>
      <c r="AC63" s="1189"/>
      <c r="AD63" s="1189"/>
      <c r="AE63" s="1189"/>
      <c r="AF63" s="1189"/>
      <c r="AG63" s="1189"/>
      <c r="AH63" s="1189"/>
      <c r="AI63" s="1189"/>
      <c r="AJ63" s="1189"/>
      <c r="AK63" s="1189"/>
      <c r="AL63" s="1189"/>
      <c r="AM63" s="1189"/>
      <c r="AN63" s="1189"/>
      <c r="AO63" s="1189"/>
      <c r="AP63" s="1189"/>
      <c r="AQ63" s="1189"/>
      <c r="AR63" s="1189"/>
      <c r="AS63" s="1189"/>
      <c r="AT63" s="1189"/>
      <c r="AU63" s="1189"/>
      <c r="AV63" s="1189"/>
      <c r="AW63" s="1189"/>
      <c r="AX63" s="1189"/>
      <c r="AY63" s="1190"/>
    </row>
    <row r="64" spans="1:51" x14ac:dyDescent="0.3">
      <c r="A64" s="1191" t="s">
        <v>233</v>
      </c>
      <c r="B64" s="1192"/>
      <c r="C64" s="1192"/>
      <c r="D64" s="1192"/>
      <c r="E64" s="1192"/>
      <c r="F64" s="1192"/>
      <c r="G64" s="1192"/>
      <c r="H64" s="1192"/>
      <c r="I64" s="1192"/>
      <c r="J64" s="1192"/>
      <c r="K64" s="1192"/>
      <c r="L64" s="1192"/>
      <c r="M64" s="1192"/>
      <c r="N64" s="1192"/>
      <c r="O64" s="1192"/>
      <c r="P64" s="1192"/>
      <c r="Q64" s="1192"/>
      <c r="R64" s="1192"/>
      <c r="S64" s="1192"/>
      <c r="T64" s="1192"/>
      <c r="U64" s="1192"/>
      <c r="V64" s="1192"/>
      <c r="W64" s="1192"/>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192"/>
      <c r="AS64" s="1192"/>
      <c r="AT64" s="1192"/>
      <c r="AU64" s="1192"/>
      <c r="AV64" s="1192"/>
      <c r="AW64" s="1192"/>
      <c r="AX64" s="1192"/>
      <c r="AY64" s="1193"/>
    </row>
    <row r="65" spans="1:51" x14ac:dyDescent="0.3">
      <c r="A65" s="1182" t="s">
        <v>234</v>
      </c>
      <c r="B65" s="1183"/>
      <c r="C65" s="1183"/>
      <c r="D65" s="1183"/>
      <c r="E65" s="1183"/>
      <c r="F65" s="1183"/>
      <c r="G65" s="1183"/>
      <c r="H65" s="1183"/>
      <c r="I65" s="1183"/>
      <c r="J65" s="1183"/>
      <c r="K65" s="1183"/>
      <c r="L65" s="1183"/>
      <c r="M65" s="1183"/>
      <c r="N65" s="1183"/>
      <c r="O65" s="1183"/>
      <c r="P65" s="1183"/>
      <c r="Q65" s="1183"/>
      <c r="R65" s="1183"/>
      <c r="S65" s="1183"/>
      <c r="T65" s="1183"/>
      <c r="U65" s="1183"/>
      <c r="V65" s="1183"/>
      <c r="W65" s="1183"/>
      <c r="X65" s="1183"/>
      <c r="Y65" s="1183"/>
      <c r="Z65" s="1183"/>
      <c r="AA65" s="1183"/>
      <c r="AB65" s="1183"/>
      <c r="AC65" s="1183"/>
      <c r="AD65" s="1183"/>
      <c r="AE65" s="1183"/>
      <c r="AF65" s="1183"/>
      <c r="AG65" s="1183"/>
      <c r="AH65" s="1183"/>
      <c r="AI65" s="1183"/>
      <c r="AJ65" s="1183"/>
      <c r="AK65" s="1183"/>
      <c r="AL65" s="1183"/>
      <c r="AM65" s="1183"/>
      <c r="AN65" s="1183"/>
      <c r="AO65" s="1183"/>
      <c r="AP65" s="1183"/>
      <c r="AQ65" s="1183"/>
      <c r="AR65" s="1183"/>
      <c r="AS65" s="1183"/>
      <c r="AT65" s="1183"/>
      <c r="AU65" s="1183"/>
      <c r="AV65" s="1183"/>
      <c r="AW65" s="1183"/>
      <c r="AX65" s="1183"/>
      <c r="AY65" s="1184"/>
    </row>
    <row r="66" spans="1:51" x14ac:dyDescent="0.3">
      <c r="A66" s="1161" t="s">
        <v>235</v>
      </c>
      <c r="B66" s="1162"/>
      <c r="C66" s="1162"/>
      <c r="D66" s="1162"/>
      <c r="E66" s="1162"/>
      <c r="F66" s="1162"/>
      <c r="G66" s="1162"/>
      <c r="H66" s="1162"/>
      <c r="I66" s="1162"/>
      <c r="J66" s="1162"/>
      <c r="K66" s="1162"/>
      <c r="L66" s="1162"/>
      <c r="M66" s="1162"/>
      <c r="N66" s="1162"/>
      <c r="O66" s="1162"/>
      <c r="P66" s="1162"/>
      <c r="Q66" s="1162"/>
      <c r="R66" s="1162"/>
      <c r="S66" s="1162"/>
      <c r="T66" s="1162"/>
      <c r="U66" s="1162"/>
      <c r="V66" s="1162"/>
      <c r="W66" s="1162"/>
      <c r="X66" s="1162"/>
      <c r="Y66" s="1162"/>
      <c r="Z66" s="1162"/>
      <c r="AA66" s="1162"/>
      <c r="AB66" s="1162"/>
      <c r="AC66" s="1162"/>
      <c r="AD66" s="1162"/>
      <c r="AE66" s="1162"/>
      <c r="AF66" s="1162"/>
      <c r="AG66" s="1162"/>
      <c r="AH66" s="1162"/>
      <c r="AI66" s="1162"/>
      <c r="AJ66" s="1162"/>
      <c r="AK66" s="1162"/>
      <c r="AL66" s="1162"/>
      <c r="AM66" s="1162"/>
      <c r="AN66" s="1162"/>
      <c r="AO66" s="1162"/>
      <c r="AP66" s="1162"/>
      <c r="AQ66" s="1162"/>
      <c r="AR66" s="1162"/>
      <c r="AS66" s="1162"/>
      <c r="AT66" s="1162"/>
      <c r="AU66" s="1162"/>
      <c r="AV66" s="1162"/>
      <c r="AW66" s="1162"/>
      <c r="AX66" s="1162"/>
      <c r="AY66" s="1163"/>
    </row>
    <row r="67" spans="1:51" x14ac:dyDescent="0.3">
      <c r="A67" s="1164" t="s">
        <v>236</v>
      </c>
      <c r="B67" s="1180"/>
      <c r="C67" s="1180"/>
      <c r="D67" s="1180"/>
      <c r="E67" s="1180"/>
      <c r="F67" s="1180"/>
      <c r="G67" s="1180"/>
      <c r="H67" s="1180"/>
      <c r="I67" s="1180"/>
      <c r="J67" s="1180"/>
      <c r="K67" s="1180"/>
      <c r="L67" s="1180"/>
      <c r="M67" s="1180"/>
      <c r="N67" s="1180"/>
      <c r="O67" s="1180"/>
      <c r="P67" s="1180"/>
      <c r="Q67" s="1180"/>
      <c r="R67" s="1180"/>
      <c r="S67" s="1180"/>
      <c r="T67" s="1180"/>
      <c r="U67" s="1180"/>
      <c r="V67" s="1180"/>
      <c r="W67" s="1180"/>
      <c r="X67" s="1180"/>
      <c r="Y67" s="1180"/>
      <c r="Z67" s="1180"/>
      <c r="AA67" s="1180"/>
      <c r="AB67" s="1180"/>
      <c r="AC67" s="1180"/>
      <c r="AD67" s="1180"/>
      <c r="AE67" s="1180"/>
      <c r="AF67" s="1180"/>
      <c r="AG67" s="1180"/>
      <c r="AH67" s="1180"/>
      <c r="AI67" s="1180"/>
      <c r="AJ67" s="1180"/>
      <c r="AK67" s="1180"/>
      <c r="AL67" s="1180"/>
      <c r="AM67" s="1180"/>
      <c r="AN67" s="1180"/>
      <c r="AO67" s="1180"/>
      <c r="AP67" s="1180"/>
      <c r="AQ67" s="1180"/>
      <c r="AR67" s="1180"/>
      <c r="AS67" s="1180"/>
      <c r="AT67" s="1180"/>
      <c r="AU67" s="1180"/>
      <c r="AV67" s="1180"/>
      <c r="AW67" s="1180"/>
      <c r="AX67" s="1180"/>
      <c r="AY67" s="1181"/>
    </row>
    <row r="68" spans="1:51" x14ac:dyDescent="0.3">
      <c r="A68" s="1161" t="s">
        <v>237</v>
      </c>
      <c r="B68" s="1162"/>
      <c r="C68" s="1162"/>
      <c r="D68" s="1162"/>
      <c r="E68" s="1162"/>
      <c r="F68" s="1162"/>
      <c r="G68" s="1162"/>
      <c r="H68" s="1162"/>
      <c r="I68" s="1162"/>
      <c r="J68" s="1162"/>
      <c r="K68" s="1162"/>
      <c r="L68" s="1162"/>
      <c r="M68" s="1162"/>
      <c r="N68" s="1162"/>
      <c r="O68" s="1162"/>
      <c r="P68" s="1162"/>
      <c r="Q68" s="1162"/>
      <c r="R68" s="1162"/>
      <c r="S68" s="1162"/>
      <c r="T68" s="1162"/>
      <c r="U68" s="1162"/>
      <c r="V68" s="1162"/>
      <c r="W68" s="1162"/>
      <c r="X68" s="1162"/>
      <c r="Y68" s="1162"/>
      <c r="Z68" s="1162"/>
      <c r="AA68" s="1162"/>
      <c r="AB68" s="1162"/>
      <c r="AC68" s="1162"/>
      <c r="AD68" s="1162"/>
      <c r="AE68" s="1162"/>
      <c r="AF68" s="1162"/>
      <c r="AG68" s="1162"/>
      <c r="AH68" s="1162"/>
      <c r="AI68" s="1162"/>
      <c r="AJ68" s="1162"/>
      <c r="AK68" s="1162"/>
      <c r="AL68" s="1162"/>
      <c r="AM68" s="1162"/>
      <c r="AN68" s="1162"/>
      <c r="AO68" s="1162"/>
      <c r="AP68" s="1162"/>
      <c r="AQ68" s="1162"/>
      <c r="AR68" s="1162"/>
      <c r="AS68" s="1162"/>
      <c r="AT68" s="1162"/>
      <c r="AU68" s="1162"/>
      <c r="AV68" s="1162"/>
      <c r="AW68" s="1162"/>
      <c r="AX68" s="1162"/>
      <c r="AY68" s="1163"/>
    </row>
    <row r="69" spans="1:51" x14ac:dyDescent="0.3">
      <c r="A69" s="1164" t="s">
        <v>238</v>
      </c>
      <c r="B69" s="1180"/>
      <c r="C69" s="1180"/>
      <c r="D69" s="1180"/>
      <c r="E69" s="1180"/>
      <c r="F69" s="1180"/>
      <c r="G69" s="1180"/>
      <c r="H69" s="1180"/>
      <c r="I69" s="1180"/>
      <c r="J69" s="1180"/>
      <c r="K69" s="1180"/>
      <c r="L69" s="1180"/>
      <c r="M69" s="1180"/>
      <c r="N69" s="1180"/>
      <c r="O69" s="1180"/>
      <c r="P69" s="1180"/>
      <c r="Q69" s="1180"/>
      <c r="R69" s="1180"/>
      <c r="S69" s="1180"/>
      <c r="T69" s="1180"/>
      <c r="U69" s="1180"/>
      <c r="V69" s="1180"/>
      <c r="W69" s="1180"/>
      <c r="X69" s="1180"/>
      <c r="Y69" s="1180"/>
      <c r="Z69" s="1180"/>
      <c r="AA69" s="1180"/>
      <c r="AB69" s="1180"/>
      <c r="AC69" s="1180"/>
      <c r="AD69" s="1180"/>
      <c r="AE69" s="1180"/>
      <c r="AF69" s="1180"/>
      <c r="AG69" s="1180"/>
      <c r="AH69" s="1180"/>
      <c r="AI69" s="1180"/>
      <c r="AJ69" s="1180"/>
      <c r="AK69" s="1180"/>
      <c r="AL69" s="1180"/>
      <c r="AM69" s="1180"/>
      <c r="AN69" s="1180"/>
      <c r="AO69" s="1180"/>
      <c r="AP69" s="1180"/>
      <c r="AQ69" s="1180"/>
      <c r="AR69" s="1180"/>
      <c r="AS69" s="1180"/>
      <c r="AT69" s="1180"/>
      <c r="AU69" s="1180"/>
      <c r="AV69" s="1180"/>
      <c r="AW69" s="1180"/>
      <c r="AX69" s="1180"/>
      <c r="AY69" s="1181"/>
    </row>
    <row r="70" spans="1:51" x14ac:dyDescent="0.3">
      <c r="A70" s="1161" t="s">
        <v>239</v>
      </c>
      <c r="B70" s="1162"/>
      <c r="C70" s="1162"/>
      <c r="D70" s="1162"/>
      <c r="E70" s="1162"/>
      <c r="F70" s="1162"/>
      <c r="G70" s="1162"/>
      <c r="H70" s="1162"/>
      <c r="I70" s="1162"/>
      <c r="J70" s="1162"/>
      <c r="K70" s="1162"/>
      <c r="L70" s="1162"/>
      <c r="M70" s="1162"/>
      <c r="N70" s="1162"/>
      <c r="O70" s="1162"/>
      <c r="P70" s="1162"/>
      <c r="Q70" s="1162"/>
      <c r="R70" s="1162"/>
      <c r="S70" s="1162"/>
      <c r="T70" s="1162"/>
      <c r="U70" s="1162"/>
      <c r="V70" s="1162"/>
      <c r="W70" s="1162"/>
      <c r="X70" s="1162"/>
      <c r="Y70" s="1162"/>
      <c r="Z70" s="1162"/>
      <c r="AA70" s="1162"/>
      <c r="AB70" s="1162"/>
      <c r="AC70" s="1162"/>
      <c r="AD70" s="1162"/>
      <c r="AE70" s="1162"/>
      <c r="AF70" s="1162"/>
      <c r="AG70" s="1162"/>
      <c r="AH70" s="1162"/>
      <c r="AI70" s="1162"/>
      <c r="AJ70" s="1162"/>
      <c r="AK70" s="1162"/>
      <c r="AL70" s="1162"/>
      <c r="AM70" s="1162"/>
      <c r="AN70" s="1162"/>
      <c r="AO70" s="1162"/>
      <c r="AP70" s="1162"/>
      <c r="AQ70" s="1162"/>
      <c r="AR70" s="1162"/>
      <c r="AS70" s="1162"/>
      <c r="AT70" s="1162"/>
      <c r="AU70" s="1162"/>
      <c r="AV70" s="1162"/>
      <c r="AW70" s="1162"/>
      <c r="AX70" s="1162"/>
      <c r="AY70" s="1163"/>
    </row>
    <row r="71" spans="1:51" x14ac:dyDescent="0.3">
      <c r="A71" s="1164" t="s">
        <v>240</v>
      </c>
      <c r="B71" s="1180"/>
      <c r="C71" s="1180"/>
      <c r="D71" s="1180"/>
      <c r="E71" s="1180"/>
      <c r="F71" s="1180"/>
      <c r="G71" s="1180"/>
      <c r="H71" s="1180"/>
      <c r="I71" s="1180"/>
      <c r="J71" s="1180"/>
      <c r="K71" s="1180"/>
      <c r="L71" s="1180"/>
      <c r="M71" s="1180"/>
      <c r="N71" s="1180"/>
      <c r="O71" s="1180"/>
      <c r="P71" s="1180"/>
      <c r="Q71" s="1180"/>
      <c r="R71" s="1180"/>
      <c r="S71" s="1180"/>
      <c r="T71" s="1180"/>
      <c r="U71" s="1180"/>
      <c r="V71" s="1180"/>
      <c r="W71" s="1180"/>
      <c r="X71" s="1180"/>
      <c r="Y71" s="1180"/>
      <c r="Z71" s="1180"/>
      <c r="AA71" s="1180"/>
      <c r="AB71" s="1180"/>
      <c r="AC71" s="1180"/>
      <c r="AD71" s="1180"/>
      <c r="AE71" s="1180"/>
      <c r="AF71" s="1180"/>
      <c r="AG71" s="1180"/>
      <c r="AH71" s="1180"/>
      <c r="AI71" s="1180"/>
      <c r="AJ71" s="1180"/>
      <c r="AK71" s="1180"/>
      <c r="AL71" s="1180"/>
      <c r="AM71" s="1180"/>
      <c r="AN71" s="1180"/>
      <c r="AO71" s="1180"/>
      <c r="AP71" s="1180"/>
      <c r="AQ71" s="1180"/>
      <c r="AR71" s="1180"/>
      <c r="AS71" s="1180"/>
      <c r="AT71" s="1180"/>
      <c r="AU71" s="1180"/>
      <c r="AV71" s="1180"/>
      <c r="AW71" s="1180"/>
      <c r="AX71" s="1180"/>
      <c r="AY71" s="1181"/>
    </row>
    <row r="72" spans="1:51" x14ac:dyDescent="0.3">
      <c r="A72" s="1161" t="s">
        <v>241</v>
      </c>
      <c r="B72" s="1162"/>
      <c r="C72" s="1162"/>
      <c r="D72" s="1162"/>
      <c r="E72" s="1162"/>
      <c r="F72" s="1162"/>
      <c r="G72" s="1162"/>
      <c r="H72" s="1162"/>
      <c r="I72" s="1162"/>
      <c r="J72" s="1162"/>
      <c r="K72" s="1162"/>
      <c r="L72" s="1162"/>
      <c r="M72" s="1162"/>
      <c r="N72" s="1162"/>
      <c r="O72" s="1162"/>
      <c r="P72" s="1162"/>
      <c r="Q72" s="1162"/>
      <c r="R72" s="1162"/>
      <c r="S72" s="1162"/>
      <c r="T72" s="1162"/>
      <c r="U72" s="1162"/>
      <c r="V72" s="1162"/>
      <c r="W72" s="1162"/>
      <c r="X72" s="1162"/>
      <c r="Y72" s="1162"/>
      <c r="Z72" s="1162"/>
      <c r="AA72" s="1162"/>
      <c r="AB72" s="1162"/>
      <c r="AC72" s="1162"/>
      <c r="AD72" s="1162"/>
      <c r="AE72" s="1162"/>
      <c r="AF72" s="1162"/>
      <c r="AG72" s="1162"/>
      <c r="AH72" s="1162"/>
      <c r="AI72" s="1162"/>
      <c r="AJ72" s="1162"/>
      <c r="AK72" s="1162"/>
      <c r="AL72" s="1162"/>
      <c r="AM72" s="1162"/>
      <c r="AN72" s="1162"/>
      <c r="AO72" s="1162"/>
      <c r="AP72" s="1162"/>
      <c r="AQ72" s="1162"/>
      <c r="AR72" s="1162"/>
      <c r="AS72" s="1162"/>
      <c r="AT72" s="1162"/>
      <c r="AU72" s="1162"/>
      <c r="AV72" s="1162"/>
      <c r="AW72" s="1162"/>
      <c r="AX72" s="1162"/>
      <c r="AY72" s="1163"/>
    </row>
    <row r="73" spans="1:51" x14ac:dyDescent="0.3">
      <c r="A73" s="1164" t="s">
        <v>242</v>
      </c>
      <c r="B73" s="1180"/>
      <c r="C73" s="1180"/>
      <c r="D73" s="1180"/>
      <c r="E73" s="1180"/>
      <c r="F73" s="1180"/>
      <c r="G73" s="1180"/>
      <c r="H73" s="1180"/>
      <c r="I73" s="1180"/>
      <c r="J73" s="1180"/>
      <c r="K73" s="1180"/>
      <c r="L73" s="1180"/>
      <c r="M73" s="1180"/>
      <c r="N73" s="1180"/>
      <c r="O73" s="1180"/>
      <c r="P73" s="1180"/>
      <c r="Q73" s="1180"/>
      <c r="R73" s="1180"/>
      <c r="S73" s="1180"/>
      <c r="T73" s="1180"/>
      <c r="U73" s="1180"/>
      <c r="V73" s="1180"/>
      <c r="W73" s="1180"/>
      <c r="X73" s="1180"/>
      <c r="Y73" s="1180"/>
      <c r="Z73" s="1180"/>
      <c r="AA73" s="1180"/>
      <c r="AB73" s="1180"/>
      <c r="AC73" s="1180"/>
      <c r="AD73" s="1180"/>
      <c r="AE73" s="1180"/>
      <c r="AF73" s="1180"/>
      <c r="AG73" s="1180"/>
      <c r="AH73" s="1180"/>
      <c r="AI73" s="1180"/>
      <c r="AJ73" s="1180"/>
      <c r="AK73" s="1180"/>
      <c r="AL73" s="1180"/>
      <c r="AM73" s="1180"/>
      <c r="AN73" s="1180"/>
      <c r="AO73" s="1180"/>
      <c r="AP73" s="1180"/>
      <c r="AQ73" s="1180"/>
      <c r="AR73" s="1180"/>
      <c r="AS73" s="1180"/>
      <c r="AT73" s="1180"/>
      <c r="AU73" s="1180"/>
      <c r="AV73" s="1180"/>
      <c r="AW73" s="1180"/>
      <c r="AX73" s="1180"/>
      <c r="AY73" s="1181"/>
    </row>
    <row r="74" spans="1:51" x14ac:dyDescent="0.3">
      <c r="A74" s="1161" t="s">
        <v>243</v>
      </c>
      <c r="B74" s="1162"/>
      <c r="C74" s="1162"/>
      <c r="D74" s="1162"/>
      <c r="E74" s="1162"/>
      <c r="F74" s="1162"/>
      <c r="G74" s="1162"/>
      <c r="H74" s="1162"/>
      <c r="I74" s="1162"/>
      <c r="J74" s="1162"/>
      <c r="K74" s="1162"/>
      <c r="L74" s="1162"/>
      <c r="M74" s="1162"/>
      <c r="N74" s="1162"/>
      <c r="O74" s="1162"/>
      <c r="P74" s="1162"/>
      <c r="Q74" s="1162"/>
      <c r="R74" s="1162"/>
      <c r="S74" s="1162"/>
      <c r="T74" s="1162"/>
      <c r="U74" s="1162"/>
      <c r="V74" s="1162"/>
      <c r="W74" s="1162"/>
      <c r="X74" s="1162"/>
      <c r="Y74" s="1162"/>
      <c r="Z74" s="1162"/>
      <c r="AA74" s="1162"/>
      <c r="AB74" s="1162"/>
      <c r="AC74" s="1162"/>
      <c r="AD74" s="1162"/>
      <c r="AE74" s="1162"/>
      <c r="AF74" s="1162"/>
      <c r="AG74" s="1162"/>
      <c r="AH74" s="1162"/>
      <c r="AI74" s="1162"/>
      <c r="AJ74" s="1162"/>
      <c r="AK74" s="1162"/>
      <c r="AL74" s="1162"/>
      <c r="AM74" s="1162"/>
      <c r="AN74" s="1162"/>
      <c r="AO74" s="1162"/>
      <c r="AP74" s="1162"/>
      <c r="AQ74" s="1162"/>
      <c r="AR74" s="1162"/>
      <c r="AS74" s="1162"/>
      <c r="AT74" s="1162"/>
      <c r="AU74" s="1162"/>
      <c r="AV74" s="1162"/>
      <c r="AW74" s="1162"/>
      <c r="AX74" s="1162"/>
      <c r="AY74" s="1163"/>
    </row>
    <row r="75" spans="1:51" x14ac:dyDescent="0.3">
      <c r="A75" s="1164" t="s">
        <v>244</v>
      </c>
      <c r="B75" s="1180"/>
      <c r="C75" s="1180"/>
      <c r="D75" s="1180"/>
      <c r="E75" s="1180"/>
      <c r="F75" s="1180"/>
      <c r="G75" s="1180"/>
      <c r="H75" s="1180"/>
      <c r="I75" s="1180"/>
      <c r="J75" s="1180"/>
      <c r="K75" s="1180"/>
      <c r="L75" s="1180"/>
      <c r="M75" s="1180"/>
      <c r="N75" s="1180"/>
      <c r="O75" s="1180"/>
      <c r="P75" s="1180"/>
      <c r="Q75" s="1180"/>
      <c r="R75" s="1180"/>
      <c r="S75" s="1180"/>
      <c r="T75" s="1180"/>
      <c r="U75" s="1180"/>
      <c r="V75" s="1180"/>
      <c r="W75" s="1180"/>
      <c r="X75" s="1180"/>
      <c r="Y75" s="1180"/>
      <c r="Z75" s="1180"/>
      <c r="AA75" s="1180"/>
      <c r="AB75" s="1180"/>
      <c r="AC75" s="1180"/>
      <c r="AD75" s="1180"/>
      <c r="AE75" s="1180"/>
      <c r="AF75" s="1180"/>
      <c r="AG75" s="1180"/>
      <c r="AH75" s="1180"/>
      <c r="AI75" s="1180"/>
      <c r="AJ75" s="1180"/>
      <c r="AK75" s="1180"/>
      <c r="AL75" s="1180"/>
      <c r="AM75" s="1180"/>
      <c r="AN75" s="1180"/>
      <c r="AO75" s="1180"/>
      <c r="AP75" s="1180"/>
      <c r="AQ75" s="1180"/>
      <c r="AR75" s="1180"/>
      <c r="AS75" s="1180"/>
      <c r="AT75" s="1180"/>
      <c r="AU75" s="1180"/>
      <c r="AV75" s="1180"/>
      <c r="AW75" s="1180"/>
      <c r="AX75" s="1180"/>
      <c r="AY75" s="1181"/>
    </row>
    <row r="76" spans="1:51" x14ac:dyDescent="0.3">
      <c r="A76" s="1202" t="s">
        <v>245</v>
      </c>
      <c r="B76" s="1203"/>
      <c r="C76" s="1203"/>
      <c r="D76" s="1203"/>
      <c r="E76" s="1203"/>
      <c r="F76" s="1203"/>
      <c r="G76" s="1203"/>
      <c r="H76" s="1203"/>
      <c r="I76" s="1203"/>
      <c r="J76" s="1203"/>
      <c r="K76" s="1203"/>
      <c r="L76" s="1203"/>
      <c r="M76" s="1203"/>
      <c r="N76" s="1203"/>
      <c r="O76" s="1203"/>
      <c r="P76" s="1203"/>
      <c r="Q76" s="1203"/>
      <c r="R76" s="1203"/>
      <c r="S76" s="1203"/>
      <c r="T76" s="1203"/>
      <c r="U76" s="1203"/>
      <c r="V76" s="1203"/>
      <c r="W76" s="1203"/>
      <c r="X76" s="1203"/>
      <c r="Y76" s="1203"/>
      <c r="Z76" s="1203"/>
      <c r="AA76" s="1203"/>
      <c r="AB76" s="1203"/>
      <c r="AC76" s="1203"/>
      <c r="AD76" s="1203"/>
      <c r="AE76" s="1203"/>
      <c r="AF76" s="1203"/>
      <c r="AG76" s="1203"/>
      <c r="AH76" s="1203"/>
      <c r="AI76" s="1203"/>
      <c r="AJ76" s="1203"/>
      <c r="AK76" s="1203"/>
      <c r="AL76" s="1203"/>
      <c r="AM76" s="1203"/>
      <c r="AN76" s="1203"/>
      <c r="AO76" s="1203"/>
      <c r="AP76" s="1203"/>
      <c r="AQ76" s="1203"/>
      <c r="AR76" s="1203"/>
      <c r="AS76" s="1203"/>
      <c r="AT76" s="1203"/>
      <c r="AU76" s="1203"/>
      <c r="AV76" s="1203"/>
      <c r="AW76" s="1203"/>
      <c r="AX76" s="1203"/>
      <c r="AY76" s="1204"/>
    </row>
    <row r="77" spans="1:51" x14ac:dyDescent="0.3">
      <c r="A77" s="1199" t="s">
        <v>246</v>
      </c>
      <c r="B77" s="1200"/>
      <c r="C77" s="1200"/>
      <c r="D77" s="1200"/>
      <c r="E77" s="1200"/>
      <c r="F77" s="1200"/>
      <c r="G77" s="1200"/>
      <c r="H77" s="1200"/>
      <c r="I77" s="1200"/>
      <c r="J77" s="1200"/>
      <c r="K77" s="1200"/>
      <c r="L77" s="1200"/>
      <c r="M77" s="1200"/>
      <c r="N77" s="1200"/>
      <c r="O77" s="1200"/>
      <c r="P77" s="1200"/>
      <c r="Q77" s="1200"/>
      <c r="R77" s="1200"/>
      <c r="S77" s="1200"/>
      <c r="T77" s="1200"/>
      <c r="U77" s="1200"/>
      <c r="V77" s="1200"/>
      <c r="W77" s="1200"/>
      <c r="X77" s="1200"/>
      <c r="Y77" s="1200"/>
      <c r="Z77" s="1200"/>
      <c r="AA77" s="1200"/>
      <c r="AB77" s="1200"/>
      <c r="AC77" s="1200"/>
      <c r="AD77" s="1200"/>
      <c r="AE77" s="1200"/>
      <c r="AF77" s="1200"/>
      <c r="AG77" s="1200"/>
      <c r="AH77" s="1200"/>
      <c r="AI77" s="1200"/>
      <c r="AJ77" s="1200"/>
      <c r="AK77" s="1200"/>
      <c r="AL77" s="1200"/>
      <c r="AM77" s="1200"/>
      <c r="AN77" s="1200"/>
      <c r="AO77" s="1200"/>
      <c r="AP77" s="1200"/>
      <c r="AQ77" s="1200"/>
      <c r="AR77" s="1200"/>
      <c r="AS77" s="1200"/>
      <c r="AT77" s="1200"/>
      <c r="AU77" s="1200"/>
      <c r="AV77" s="1200"/>
      <c r="AW77" s="1200"/>
      <c r="AX77" s="1200"/>
      <c r="AY77" s="1201"/>
    </row>
    <row r="78" spans="1:51" x14ac:dyDescent="0.3">
      <c r="A78" s="1174" t="s">
        <v>247</v>
      </c>
      <c r="B78" s="1175"/>
      <c r="C78" s="1175"/>
      <c r="D78" s="1175"/>
      <c r="E78" s="1175"/>
      <c r="F78" s="1175"/>
      <c r="G78" s="1175"/>
      <c r="H78" s="1175"/>
      <c r="I78" s="1175"/>
      <c r="J78" s="1175"/>
      <c r="K78" s="1175"/>
      <c r="L78" s="1175"/>
      <c r="M78" s="1175"/>
      <c r="N78" s="1175"/>
      <c r="O78" s="1175"/>
      <c r="P78" s="1175"/>
      <c r="Q78" s="1175"/>
      <c r="R78" s="1175"/>
      <c r="S78" s="1175"/>
      <c r="T78" s="1175"/>
      <c r="U78" s="1175"/>
      <c r="V78" s="1175"/>
      <c r="W78" s="1175"/>
      <c r="X78" s="1175"/>
      <c r="Y78" s="1175"/>
      <c r="Z78" s="1175"/>
      <c r="AA78" s="1175"/>
      <c r="AB78" s="1175"/>
      <c r="AC78" s="1175"/>
      <c r="AD78" s="1175"/>
      <c r="AE78" s="1175"/>
      <c r="AF78" s="1175"/>
      <c r="AG78" s="1175"/>
      <c r="AH78" s="1175"/>
      <c r="AI78" s="1175"/>
      <c r="AJ78" s="1175"/>
      <c r="AK78" s="1175"/>
      <c r="AL78" s="1175"/>
      <c r="AM78" s="1175"/>
      <c r="AN78" s="1175"/>
      <c r="AO78" s="1175"/>
      <c r="AP78" s="1175"/>
      <c r="AQ78" s="1175"/>
      <c r="AR78" s="1175"/>
      <c r="AS78" s="1175"/>
      <c r="AT78" s="1175"/>
      <c r="AU78" s="1175"/>
      <c r="AV78" s="1175"/>
      <c r="AW78" s="1175"/>
      <c r="AX78" s="1175"/>
      <c r="AY78" s="1176"/>
    </row>
    <row r="79" spans="1:51" x14ac:dyDescent="0.3">
      <c r="A79" s="1196" t="s">
        <v>248</v>
      </c>
      <c r="B79" s="1197"/>
      <c r="C79" s="1197"/>
      <c r="D79" s="1197"/>
      <c r="E79" s="1197"/>
      <c r="F79" s="1197"/>
      <c r="G79" s="1197"/>
      <c r="H79" s="1197"/>
      <c r="I79" s="1197"/>
      <c r="J79" s="1197"/>
      <c r="K79" s="1197"/>
      <c r="L79" s="1197"/>
      <c r="M79" s="1197"/>
      <c r="N79" s="1197"/>
      <c r="O79" s="1197"/>
      <c r="P79" s="1197"/>
      <c r="Q79" s="1197"/>
      <c r="R79" s="1197"/>
      <c r="S79" s="1197"/>
      <c r="T79" s="1197"/>
      <c r="U79" s="1197"/>
      <c r="V79" s="1197"/>
      <c r="W79" s="1197"/>
      <c r="X79" s="1197"/>
      <c r="Y79" s="1197"/>
      <c r="Z79" s="1197"/>
      <c r="AA79" s="1197"/>
      <c r="AB79" s="1197"/>
      <c r="AC79" s="1197"/>
      <c r="AD79" s="1197"/>
      <c r="AE79" s="1197"/>
      <c r="AF79" s="1197"/>
      <c r="AG79" s="1197"/>
      <c r="AH79" s="1197"/>
      <c r="AI79" s="1197"/>
      <c r="AJ79" s="1197"/>
      <c r="AK79" s="1197"/>
      <c r="AL79" s="1197"/>
      <c r="AM79" s="1197"/>
      <c r="AN79" s="1197"/>
      <c r="AO79" s="1197"/>
      <c r="AP79" s="1197"/>
      <c r="AQ79" s="1197"/>
      <c r="AR79" s="1197"/>
      <c r="AS79" s="1197"/>
      <c r="AT79" s="1197"/>
      <c r="AU79" s="1197"/>
      <c r="AV79" s="1197"/>
      <c r="AW79" s="1197"/>
      <c r="AX79" s="1197"/>
      <c r="AY79" s="1198"/>
    </row>
    <row r="80" spans="1:51" x14ac:dyDescent="0.3">
      <c r="A80" s="1173" t="s">
        <v>249</v>
      </c>
      <c r="B80" s="1194"/>
      <c r="C80" s="1194"/>
      <c r="D80" s="1194"/>
      <c r="E80" s="1194"/>
      <c r="F80" s="1194"/>
      <c r="G80" s="1194"/>
      <c r="H80" s="1194"/>
      <c r="I80" s="1194"/>
      <c r="J80" s="1194"/>
      <c r="K80" s="1194"/>
      <c r="L80" s="1194"/>
      <c r="M80" s="1194"/>
      <c r="N80" s="1194"/>
      <c r="O80" s="1194"/>
      <c r="P80" s="1194"/>
      <c r="Q80" s="1194"/>
      <c r="R80" s="1194"/>
      <c r="S80" s="1194"/>
      <c r="T80" s="1194"/>
      <c r="U80" s="1194"/>
      <c r="V80" s="1194"/>
      <c r="W80" s="1194"/>
      <c r="X80" s="1194"/>
      <c r="Y80" s="1194"/>
      <c r="Z80" s="1194"/>
      <c r="AA80" s="1194"/>
      <c r="AB80" s="1194"/>
      <c r="AC80" s="1194"/>
      <c r="AD80" s="1194"/>
      <c r="AE80" s="1194"/>
      <c r="AF80" s="1194"/>
      <c r="AG80" s="1194"/>
      <c r="AH80" s="1194"/>
      <c r="AI80" s="1194"/>
      <c r="AJ80" s="1194"/>
      <c r="AK80" s="1194"/>
      <c r="AL80" s="1194"/>
      <c r="AM80" s="1194"/>
      <c r="AN80" s="1194"/>
      <c r="AO80" s="1194"/>
      <c r="AP80" s="1194"/>
      <c r="AQ80" s="1194"/>
      <c r="AR80" s="1194"/>
      <c r="AS80" s="1194"/>
      <c r="AT80" s="1194"/>
      <c r="AU80" s="1194"/>
      <c r="AV80" s="1194"/>
      <c r="AW80" s="1194"/>
      <c r="AX80" s="1194"/>
      <c r="AY80" s="1195"/>
    </row>
    <row r="81" spans="1:51" x14ac:dyDescent="0.3">
      <c r="A81" s="1174" t="s">
        <v>250</v>
      </c>
      <c r="B81" s="1175"/>
      <c r="C81" s="1175"/>
      <c r="D81" s="1175"/>
      <c r="E81" s="1175"/>
      <c r="F81" s="1175"/>
      <c r="G81" s="1175"/>
      <c r="H81" s="1175"/>
      <c r="I81" s="1175"/>
      <c r="J81" s="1175"/>
      <c r="K81" s="1175"/>
      <c r="L81" s="1175"/>
      <c r="M81" s="1175"/>
      <c r="N81" s="1175"/>
      <c r="O81" s="1175"/>
      <c r="P81" s="1175"/>
      <c r="Q81" s="1175"/>
      <c r="R81" s="1175"/>
      <c r="S81" s="1175"/>
      <c r="T81" s="1175"/>
      <c r="U81" s="1175"/>
      <c r="V81" s="1175"/>
      <c r="W81" s="1175"/>
      <c r="X81" s="1175"/>
      <c r="Y81" s="1175"/>
      <c r="Z81" s="1175"/>
      <c r="AA81" s="1175"/>
      <c r="AB81" s="1175"/>
      <c r="AC81" s="1175"/>
      <c r="AD81" s="1175"/>
      <c r="AE81" s="1175"/>
      <c r="AF81" s="1175"/>
      <c r="AG81" s="1175"/>
      <c r="AH81" s="1175"/>
      <c r="AI81" s="1175"/>
      <c r="AJ81" s="1175"/>
      <c r="AK81" s="1175"/>
      <c r="AL81" s="1175"/>
      <c r="AM81" s="1175"/>
      <c r="AN81" s="1175"/>
      <c r="AO81" s="1175"/>
      <c r="AP81" s="1175"/>
      <c r="AQ81" s="1175"/>
      <c r="AR81" s="1175"/>
      <c r="AS81" s="1175"/>
      <c r="AT81" s="1175"/>
      <c r="AU81" s="1175"/>
      <c r="AV81" s="1175"/>
      <c r="AW81" s="1175"/>
      <c r="AX81" s="1175"/>
      <c r="AY81" s="1176"/>
    </row>
    <row r="82" spans="1:51" x14ac:dyDescent="0.3">
      <c r="A82" s="1161" t="s">
        <v>251</v>
      </c>
      <c r="B82" s="1162"/>
      <c r="C82" s="1162"/>
      <c r="D82" s="1162"/>
      <c r="E82" s="1162"/>
      <c r="F82" s="1162"/>
      <c r="G82" s="1162"/>
      <c r="H82" s="1162"/>
      <c r="I82" s="1162"/>
      <c r="J82" s="1162"/>
      <c r="K82" s="1162"/>
      <c r="L82" s="1162"/>
      <c r="M82" s="1162"/>
      <c r="N82" s="1162"/>
      <c r="O82" s="1162"/>
      <c r="P82" s="1162"/>
      <c r="Q82" s="1162"/>
      <c r="R82" s="1162"/>
      <c r="S82" s="1162"/>
      <c r="T82" s="1162"/>
      <c r="U82" s="1162"/>
      <c r="V82" s="1162"/>
      <c r="W82" s="1162"/>
      <c r="X82" s="1162"/>
      <c r="Y82" s="1162"/>
      <c r="Z82" s="1162"/>
      <c r="AA82" s="1162"/>
      <c r="AB82" s="1162"/>
      <c r="AC82" s="1162"/>
      <c r="AD82" s="1162"/>
      <c r="AE82" s="1162"/>
      <c r="AF82" s="1162"/>
      <c r="AG82" s="1162"/>
      <c r="AH82" s="1162"/>
      <c r="AI82" s="1162"/>
      <c r="AJ82" s="1162"/>
      <c r="AK82" s="1162"/>
      <c r="AL82" s="1162"/>
      <c r="AM82" s="1162"/>
      <c r="AN82" s="1162"/>
      <c r="AO82" s="1162"/>
      <c r="AP82" s="1162"/>
      <c r="AQ82" s="1162"/>
      <c r="AR82" s="1162"/>
      <c r="AS82" s="1162"/>
      <c r="AT82" s="1162"/>
      <c r="AU82" s="1162"/>
      <c r="AV82" s="1162"/>
      <c r="AW82" s="1162"/>
      <c r="AX82" s="1162"/>
      <c r="AY82" s="1163"/>
    </row>
    <row r="83" spans="1:51" x14ac:dyDescent="0.3">
      <c r="A83" s="1164" t="s">
        <v>252</v>
      </c>
      <c r="B83" s="1180"/>
      <c r="C83" s="1180"/>
      <c r="D83" s="1180"/>
      <c r="E83" s="1180"/>
      <c r="F83" s="1180"/>
      <c r="G83" s="1180"/>
      <c r="H83" s="1180"/>
      <c r="I83" s="1180"/>
      <c r="J83" s="1180"/>
      <c r="K83" s="1180"/>
      <c r="L83" s="1180"/>
      <c r="M83" s="1180"/>
      <c r="N83" s="1180"/>
      <c r="O83" s="1180"/>
      <c r="P83" s="1180"/>
      <c r="Q83" s="1180"/>
      <c r="R83" s="1180"/>
      <c r="S83" s="1180"/>
      <c r="T83" s="1180"/>
      <c r="U83" s="1180"/>
      <c r="V83" s="1180"/>
      <c r="W83" s="1180"/>
      <c r="X83" s="1180"/>
      <c r="Y83" s="1180"/>
      <c r="Z83" s="1180"/>
      <c r="AA83" s="1180"/>
      <c r="AB83" s="1180"/>
      <c r="AC83" s="1180"/>
      <c r="AD83" s="1180"/>
      <c r="AE83" s="1180"/>
      <c r="AF83" s="1180"/>
      <c r="AG83" s="1180"/>
      <c r="AH83" s="1180"/>
      <c r="AI83" s="1180"/>
      <c r="AJ83" s="1180"/>
      <c r="AK83" s="1180"/>
      <c r="AL83" s="1180"/>
      <c r="AM83" s="1180"/>
      <c r="AN83" s="1180"/>
      <c r="AO83" s="1180"/>
      <c r="AP83" s="1180"/>
      <c r="AQ83" s="1180"/>
      <c r="AR83" s="1180"/>
      <c r="AS83" s="1180"/>
      <c r="AT83" s="1180"/>
      <c r="AU83" s="1180"/>
      <c r="AV83" s="1180"/>
      <c r="AW83" s="1180"/>
      <c r="AX83" s="1180"/>
      <c r="AY83" s="1181"/>
    </row>
    <row r="84" spans="1:51" x14ac:dyDescent="0.3">
      <c r="A84" s="266" t="s">
        <v>253</v>
      </c>
      <c r="B84" s="267"/>
      <c r="C84" s="267"/>
      <c r="D84" s="267"/>
      <c r="E84" s="267"/>
      <c r="F84" s="267"/>
      <c r="G84" s="267"/>
      <c r="H84" s="267"/>
      <c r="I84" s="267"/>
      <c r="J84" s="267"/>
      <c r="K84" s="267"/>
      <c r="L84" s="267"/>
      <c r="M84" s="267"/>
      <c r="N84" s="267"/>
      <c r="O84" s="267"/>
      <c r="P84" s="267"/>
      <c r="Q84" s="267"/>
      <c r="R84" s="267"/>
      <c r="S84" s="267"/>
      <c r="T84" s="267"/>
      <c r="U84" s="267"/>
      <c r="V84" s="267"/>
      <c r="W84" s="267"/>
      <c r="X84" s="267"/>
      <c r="Y84" s="267"/>
      <c r="Z84" s="267"/>
      <c r="AA84" s="267"/>
      <c r="AB84" s="267"/>
      <c r="AC84" s="267"/>
      <c r="AD84" s="267"/>
      <c r="AE84" s="267"/>
      <c r="AF84" s="267"/>
      <c r="AG84" s="267"/>
      <c r="AH84" s="267"/>
      <c r="AI84" s="267"/>
      <c r="AJ84" s="267"/>
      <c r="AK84" s="267"/>
      <c r="AL84" s="267"/>
      <c r="AM84" s="267"/>
      <c r="AN84" s="267"/>
      <c r="AO84" s="267"/>
      <c r="AP84" s="267"/>
      <c r="AQ84" s="267"/>
      <c r="AR84" s="267"/>
      <c r="AS84" s="267"/>
      <c r="AT84" s="267"/>
      <c r="AU84" s="267"/>
      <c r="AV84" s="267"/>
      <c r="AW84" s="267"/>
      <c r="AX84" s="267"/>
      <c r="AY84" s="268"/>
    </row>
    <row r="85" spans="1:51" x14ac:dyDescent="0.3">
      <c r="A85" s="1173" t="s">
        <v>254</v>
      </c>
      <c r="B85" s="1168"/>
      <c r="C85" s="1168"/>
      <c r="D85" s="1168"/>
      <c r="E85" s="1168"/>
      <c r="F85" s="1168"/>
      <c r="G85" s="1168"/>
      <c r="H85" s="1168"/>
      <c r="I85" s="1168"/>
      <c r="J85" s="1168"/>
      <c r="K85" s="1168"/>
      <c r="L85" s="1168"/>
      <c r="M85" s="1168"/>
      <c r="N85" s="1168"/>
      <c r="O85" s="1168"/>
      <c r="P85" s="1168"/>
      <c r="Q85" s="1168"/>
      <c r="R85" s="1168"/>
      <c r="S85" s="1168"/>
      <c r="T85" s="1168"/>
      <c r="U85" s="1168"/>
      <c r="V85" s="1168"/>
      <c r="W85" s="1168"/>
      <c r="X85" s="1168"/>
      <c r="Y85" s="1168"/>
      <c r="Z85" s="1168"/>
      <c r="AA85" s="1168"/>
      <c r="AB85" s="1168"/>
      <c r="AC85" s="1168"/>
      <c r="AD85" s="1168"/>
      <c r="AE85" s="1168"/>
      <c r="AF85" s="1168"/>
      <c r="AG85" s="1168"/>
      <c r="AH85" s="1168"/>
      <c r="AI85" s="1168"/>
      <c r="AJ85" s="1168"/>
      <c r="AK85" s="1168"/>
      <c r="AL85" s="1168"/>
      <c r="AM85" s="1168"/>
      <c r="AN85" s="1168"/>
      <c r="AO85" s="1168"/>
      <c r="AP85" s="1168"/>
      <c r="AQ85" s="1168"/>
      <c r="AR85" s="1168"/>
      <c r="AS85" s="1168"/>
      <c r="AT85" s="1168"/>
      <c r="AU85" s="1168"/>
      <c r="AV85" s="1168"/>
      <c r="AW85" s="1168"/>
      <c r="AX85" s="1168"/>
      <c r="AY85" s="1169"/>
    </row>
    <row r="86" spans="1:51" x14ac:dyDescent="0.3">
      <c r="A86" s="1174" t="s">
        <v>255</v>
      </c>
      <c r="B86" s="1175"/>
      <c r="C86" s="1175"/>
      <c r="D86" s="1175"/>
      <c r="E86" s="1175"/>
      <c r="F86" s="1175"/>
      <c r="G86" s="1175"/>
      <c r="H86" s="1175"/>
      <c r="I86" s="1175"/>
      <c r="J86" s="1175"/>
      <c r="K86" s="1175"/>
      <c r="L86" s="1175"/>
      <c r="M86" s="1175"/>
      <c r="N86" s="1175"/>
      <c r="O86" s="1175"/>
      <c r="P86" s="1175"/>
      <c r="Q86" s="1175"/>
      <c r="R86" s="1175"/>
      <c r="S86" s="1175"/>
      <c r="T86" s="1175"/>
      <c r="U86" s="1175"/>
      <c r="V86" s="1175"/>
      <c r="W86" s="1175"/>
      <c r="X86" s="1175"/>
      <c r="Y86" s="1175"/>
      <c r="Z86" s="1175"/>
      <c r="AA86" s="1175"/>
      <c r="AB86" s="1175"/>
      <c r="AC86" s="1175"/>
      <c r="AD86" s="1175"/>
      <c r="AE86" s="1175"/>
      <c r="AF86" s="1175"/>
      <c r="AG86" s="1175"/>
      <c r="AH86" s="1175"/>
      <c r="AI86" s="1175"/>
      <c r="AJ86" s="1175"/>
      <c r="AK86" s="1175"/>
      <c r="AL86" s="1175"/>
      <c r="AM86" s="1175"/>
      <c r="AN86" s="1175"/>
      <c r="AO86" s="1175"/>
      <c r="AP86" s="1175"/>
      <c r="AQ86" s="1175"/>
      <c r="AR86" s="1175"/>
      <c r="AS86" s="1175"/>
      <c r="AT86" s="1175"/>
      <c r="AU86" s="1175"/>
      <c r="AV86" s="1175"/>
      <c r="AW86" s="1175"/>
      <c r="AX86" s="1175"/>
      <c r="AY86" s="1176"/>
    </row>
    <row r="87" spans="1:51" x14ac:dyDescent="0.3">
      <c r="A87" s="1177" t="s">
        <v>256</v>
      </c>
      <c r="B87" s="1178"/>
      <c r="C87" s="1178"/>
      <c r="D87" s="1178"/>
      <c r="E87" s="1178"/>
      <c r="F87" s="1178"/>
      <c r="G87" s="1178"/>
      <c r="H87" s="1178"/>
      <c r="I87" s="1178"/>
      <c r="J87" s="1178"/>
      <c r="K87" s="1178"/>
      <c r="L87" s="1178"/>
      <c r="M87" s="1178"/>
      <c r="N87" s="1178"/>
      <c r="O87" s="1178"/>
      <c r="P87" s="1178"/>
      <c r="Q87" s="1178"/>
      <c r="R87" s="1178"/>
      <c r="S87" s="1178"/>
      <c r="T87" s="1178"/>
      <c r="U87" s="1178"/>
      <c r="V87" s="1178"/>
      <c r="W87" s="1178"/>
      <c r="X87" s="1178"/>
      <c r="Y87" s="1178"/>
      <c r="Z87" s="1178"/>
      <c r="AA87" s="1178"/>
      <c r="AB87" s="1178"/>
      <c r="AC87" s="1178"/>
      <c r="AD87" s="1178"/>
      <c r="AE87" s="1178"/>
      <c r="AF87" s="1178"/>
      <c r="AG87" s="1178"/>
      <c r="AH87" s="1178"/>
      <c r="AI87" s="1178"/>
      <c r="AJ87" s="1178"/>
      <c r="AK87" s="1178"/>
      <c r="AL87" s="1178"/>
      <c r="AM87" s="1178"/>
      <c r="AN87" s="1178"/>
      <c r="AO87" s="1178"/>
      <c r="AP87" s="1178"/>
      <c r="AQ87" s="1178"/>
      <c r="AR87" s="1178"/>
      <c r="AS87" s="1178"/>
      <c r="AT87" s="1178"/>
      <c r="AU87" s="1178"/>
      <c r="AV87" s="1178"/>
      <c r="AW87" s="1178"/>
      <c r="AX87" s="1178"/>
      <c r="AY87" s="1179"/>
    </row>
    <row r="88" spans="1:51" x14ac:dyDescent="0.3">
      <c r="A88" s="1164" t="s">
        <v>257</v>
      </c>
      <c r="B88" s="1165"/>
      <c r="C88" s="1165"/>
      <c r="D88" s="1165"/>
      <c r="E88" s="1165"/>
      <c r="F88" s="1165"/>
      <c r="G88" s="1165"/>
      <c r="H88" s="1165"/>
      <c r="I88" s="1165"/>
      <c r="J88" s="1165"/>
      <c r="K88" s="1165"/>
      <c r="L88" s="1165"/>
      <c r="M88" s="1165"/>
      <c r="N88" s="1165"/>
      <c r="O88" s="1165"/>
      <c r="P88" s="1165"/>
      <c r="Q88" s="1165"/>
      <c r="R88" s="1165"/>
      <c r="S88" s="1165"/>
      <c r="T88" s="1165"/>
      <c r="U88" s="1165"/>
      <c r="V88" s="1165"/>
      <c r="W88" s="1165"/>
      <c r="X88" s="1165"/>
      <c r="Y88" s="1165"/>
      <c r="Z88" s="1165"/>
      <c r="AA88" s="1165"/>
      <c r="AB88" s="1165"/>
      <c r="AC88" s="1165"/>
      <c r="AD88" s="1165"/>
      <c r="AE88" s="1165"/>
      <c r="AF88" s="1165"/>
      <c r="AG88" s="1165"/>
      <c r="AH88" s="1165"/>
      <c r="AI88" s="1165"/>
      <c r="AJ88" s="1165"/>
      <c r="AK88" s="1165"/>
      <c r="AL88" s="1165"/>
      <c r="AM88" s="1165"/>
      <c r="AN88" s="1165"/>
      <c r="AO88" s="1165"/>
      <c r="AP88" s="1165"/>
      <c r="AQ88" s="1165"/>
      <c r="AR88" s="1165"/>
      <c r="AS88" s="1165"/>
      <c r="AT88" s="1165"/>
      <c r="AU88" s="1165"/>
      <c r="AV88" s="1165"/>
      <c r="AW88" s="1165"/>
      <c r="AX88" s="1165"/>
      <c r="AY88" s="1166"/>
    </row>
    <row r="89" spans="1:51" x14ac:dyDescent="0.3">
      <c r="A89" s="1161" t="s">
        <v>258</v>
      </c>
      <c r="B89" s="1162"/>
      <c r="C89" s="1162"/>
      <c r="D89" s="1162"/>
      <c r="E89" s="1162"/>
      <c r="F89" s="1162"/>
      <c r="G89" s="1162"/>
      <c r="H89" s="1162"/>
      <c r="I89" s="1162"/>
      <c r="J89" s="1162"/>
      <c r="K89" s="1162"/>
      <c r="L89" s="1162"/>
      <c r="M89" s="1162"/>
      <c r="N89" s="1162"/>
      <c r="O89" s="1162"/>
      <c r="P89" s="1162"/>
      <c r="Q89" s="1162"/>
      <c r="R89" s="1162"/>
      <c r="S89" s="1162"/>
      <c r="T89" s="1162"/>
      <c r="U89" s="1162"/>
      <c r="V89" s="1162"/>
      <c r="W89" s="1162"/>
      <c r="X89" s="1162"/>
      <c r="Y89" s="1162"/>
      <c r="Z89" s="1162"/>
      <c r="AA89" s="1162"/>
      <c r="AB89" s="1162"/>
      <c r="AC89" s="1162"/>
      <c r="AD89" s="1162"/>
      <c r="AE89" s="1162"/>
      <c r="AF89" s="1162"/>
      <c r="AG89" s="1162"/>
      <c r="AH89" s="1162"/>
      <c r="AI89" s="1162"/>
      <c r="AJ89" s="1162"/>
      <c r="AK89" s="1162"/>
      <c r="AL89" s="1162"/>
      <c r="AM89" s="1162"/>
      <c r="AN89" s="1162"/>
      <c r="AO89" s="1162"/>
      <c r="AP89" s="1162"/>
      <c r="AQ89" s="1162"/>
      <c r="AR89" s="1162"/>
      <c r="AS89" s="1162"/>
      <c r="AT89" s="1162"/>
      <c r="AU89" s="1162"/>
      <c r="AV89" s="1162"/>
      <c r="AW89" s="1162"/>
      <c r="AX89" s="1162"/>
      <c r="AY89" s="1163"/>
    </row>
    <row r="90" spans="1:51" x14ac:dyDescent="0.3">
      <c r="A90" s="1164" t="s">
        <v>259</v>
      </c>
      <c r="B90" s="1165"/>
      <c r="C90" s="1165"/>
      <c r="D90" s="1165"/>
      <c r="E90" s="1165"/>
      <c r="F90" s="1165"/>
      <c r="G90" s="1165"/>
      <c r="H90" s="1165"/>
      <c r="I90" s="1165"/>
      <c r="J90" s="1165"/>
      <c r="K90" s="1165"/>
      <c r="L90" s="1165"/>
      <c r="M90" s="1165"/>
      <c r="N90" s="1165"/>
      <c r="O90" s="1165"/>
      <c r="P90" s="1165"/>
      <c r="Q90" s="1165"/>
      <c r="R90" s="1165"/>
      <c r="S90" s="1165"/>
      <c r="T90" s="1165"/>
      <c r="U90" s="1165"/>
      <c r="V90" s="1165"/>
      <c r="W90" s="1165"/>
      <c r="X90" s="1165"/>
      <c r="Y90" s="1165"/>
      <c r="Z90" s="1165"/>
      <c r="AA90" s="1165"/>
      <c r="AB90" s="1165"/>
      <c r="AC90" s="1165"/>
      <c r="AD90" s="1165"/>
      <c r="AE90" s="1165"/>
      <c r="AF90" s="1165"/>
      <c r="AG90" s="1165"/>
      <c r="AH90" s="1165"/>
      <c r="AI90" s="1165"/>
      <c r="AJ90" s="1165"/>
      <c r="AK90" s="1165"/>
      <c r="AL90" s="1165"/>
      <c r="AM90" s="1165"/>
      <c r="AN90" s="1165"/>
      <c r="AO90" s="1165"/>
      <c r="AP90" s="1165"/>
      <c r="AQ90" s="1165"/>
      <c r="AR90" s="1165"/>
      <c r="AS90" s="1165"/>
      <c r="AT90" s="1165"/>
      <c r="AU90" s="1165"/>
      <c r="AV90" s="1165"/>
      <c r="AW90" s="1165"/>
      <c r="AX90" s="1165"/>
      <c r="AY90" s="1166"/>
    </row>
    <row r="91" spans="1:51" x14ac:dyDescent="0.3">
      <c r="A91" s="1161" t="s">
        <v>260</v>
      </c>
      <c r="B91" s="1162"/>
      <c r="C91" s="1162"/>
      <c r="D91" s="1162"/>
      <c r="E91" s="1162"/>
      <c r="F91" s="1162"/>
      <c r="G91" s="1162"/>
      <c r="H91" s="1162"/>
      <c r="I91" s="1162"/>
      <c r="J91" s="1162"/>
      <c r="K91" s="1162"/>
      <c r="L91" s="1162"/>
      <c r="M91" s="1162"/>
      <c r="N91" s="1162"/>
      <c r="O91" s="1162"/>
      <c r="P91" s="1162"/>
      <c r="Q91" s="1162"/>
      <c r="R91" s="1162"/>
      <c r="S91" s="1162"/>
      <c r="T91" s="1162"/>
      <c r="U91" s="1162"/>
      <c r="V91" s="1162"/>
      <c r="W91" s="1162"/>
      <c r="X91" s="1162"/>
      <c r="Y91" s="1162"/>
      <c r="Z91" s="1162"/>
      <c r="AA91" s="1162"/>
      <c r="AB91" s="1162"/>
      <c r="AC91" s="1162"/>
      <c r="AD91" s="1162"/>
      <c r="AE91" s="1162"/>
      <c r="AF91" s="1162"/>
      <c r="AG91" s="1162"/>
      <c r="AH91" s="1162"/>
      <c r="AI91" s="1162"/>
      <c r="AJ91" s="1162"/>
      <c r="AK91" s="1162"/>
      <c r="AL91" s="1162"/>
      <c r="AM91" s="1162"/>
      <c r="AN91" s="1162"/>
      <c r="AO91" s="1162"/>
      <c r="AP91" s="1162"/>
      <c r="AQ91" s="1162"/>
      <c r="AR91" s="1162"/>
      <c r="AS91" s="1162"/>
      <c r="AT91" s="1162"/>
      <c r="AU91" s="1162"/>
      <c r="AV91" s="1162"/>
      <c r="AW91" s="1162"/>
      <c r="AX91" s="1162"/>
      <c r="AY91" s="1163"/>
    </row>
    <row r="92" spans="1:51" x14ac:dyDescent="0.3">
      <c r="A92" s="1164" t="s">
        <v>261</v>
      </c>
      <c r="B92" s="1165"/>
      <c r="C92" s="1165"/>
      <c r="D92" s="1165"/>
      <c r="E92" s="1165"/>
      <c r="F92" s="1165"/>
      <c r="G92" s="1165"/>
      <c r="H92" s="1165"/>
      <c r="I92" s="1165"/>
      <c r="J92" s="1165"/>
      <c r="K92" s="1165"/>
      <c r="L92" s="1165"/>
      <c r="M92" s="1165"/>
      <c r="N92" s="1165"/>
      <c r="O92" s="1165"/>
      <c r="P92" s="1165"/>
      <c r="Q92" s="1165"/>
      <c r="R92" s="1165"/>
      <c r="S92" s="1165"/>
      <c r="T92" s="1165"/>
      <c r="U92" s="1165"/>
      <c r="V92" s="1165"/>
      <c r="W92" s="1165"/>
      <c r="X92" s="1165"/>
      <c r="Y92" s="1165"/>
      <c r="Z92" s="1165"/>
      <c r="AA92" s="1165"/>
      <c r="AB92" s="1165"/>
      <c r="AC92" s="1165"/>
      <c r="AD92" s="1165"/>
      <c r="AE92" s="1165"/>
      <c r="AF92" s="1165"/>
      <c r="AG92" s="1165"/>
      <c r="AH92" s="1165"/>
      <c r="AI92" s="1165"/>
      <c r="AJ92" s="1165"/>
      <c r="AK92" s="1165"/>
      <c r="AL92" s="1165"/>
      <c r="AM92" s="1165"/>
      <c r="AN92" s="1165"/>
      <c r="AO92" s="1165"/>
      <c r="AP92" s="1165"/>
      <c r="AQ92" s="1165"/>
      <c r="AR92" s="1165"/>
      <c r="AS92" s="1165"/>
      <c r="AT92" s="1165"/>
      <c r="AU92" s="1165"/>
      <c r="AV92" s="1165"/>
      <c r="AW92" s="1165"/>
      <c r="AX92" s="1165"/>
      <c r="AY92" s="1166"/>
    </row>
    <row r="93" spans="1:51" x14ac:dyDescent="0.3">
      <c r="A93" s="1161" t="s">
        <v>262</v>
      </c>
      <c r="B93" s="1162"/>
      <c r="C93" s="1162"/>
      <c r="D93" s="1162"/>
      <c r="E93" s="1162"/>
      <c r="F93" s="1162"/>
      <c r="G93" s="1162"/>
      <c r="H93" s="1162"/>
      <c r="I93" s="1162"/>
      <c r="J93" s="1162"/>
      <c r="K93" s="1162"/>
      <c r="L93" s="1162"/>
      <c r="M93" s="1162"/>
      <c r="N93" s="1162"/>
      <c r="O93" s="1162"/>
      <c r="P93" s="1162"/>
      <c r="Q93" s="1162"/>
      <c r="R93" s="1162"/>
      <c r="S93" s="1162"/>
      <c r="T93" s="1162"/>
      <c r="U93" s="1162"/>
      <c r="V93" s="1162"/>
      <c r="W93" s="1162"/>
      <c r="X93" s="1162"/>
      <c r="Y93" s="1162"/>
      <c r="Z93" s="1162"/>
      <c r="AA93" s="1162"/>
      <c r="AB93" s="1162"/>
      <c r="AC93" s="1162"/>
      <c r="AD93" s="1162"/>
      <c r="AE93" s="1162"/>
      <c r="AF93" s="1162"/>
      <c r="AG93" s="1162"/>
      <c r="AH93" s="1162"/>
      <c r="AI93" s="1162"/>
      <c r="AJ93" s="1162"/>
      <c r="AK93" s="1162"/>
      <c r="AL93" s="1162"/>
      <c r="AM93" s="1162"/>
      <c r="AN93" s="1162"/>
      <c r="AO93" s="1162"/>
      <c r="AP93" s="1162"/>
      <c r="AQ93" s="1162"/>
      <c r="AR93" s="1162"/>
      <c r="AS93" s="1162"/>
      <c r="AT93" s="1162"/>
      <c r="AU93" s="1162"/>
      <c r="AV93" s="1162"/>
      <c r="AW93" s="1162"/>
      <c r="AX93" s="1162"/>
      <c r="AY93" s="1163"/>
    </row>
    <row r="94" spans="1:51" x14ac:dyDescent="0.3">
      <c r="A94" s="1164" t="s">
        <v>263</v>
      </c>
      <c r="B94" s="1165"/>
      <c r="C94" s="1165"/>
      <c r="D94" s="1165"/>
      <c r="E94" s="1165"/>
      <c r="F94" s="1165"/>
      <c r="G94" s="1165"/>
      <c r="H94" s="1165"/>
      <c r="I94" s="1165"/>
      <c r="J94" s="1165"/>
      <c r="K94" s="1165"/>
      <c r="L94" s="1165"/>
      <c r="M94" s="1165"/>
      <c r="N94" s="1165"/>
      <c r="O94" s="1165"/>
      <c r="P94" s="1165"/>
      <c r="Q94" s="1165"/>
      <c r="R94" s="1165"/>
      <c r="S94" s="1165"/>
      <c r="T94" s="1165"/>
      <c r="U94" s="1165"/>
      <c r="V94" s="1165"/>
      <c r="W94" s="1165"/>
      <c r="X94" s="1165"/>
      <c r="Y94" s="1165"/>
      <c r="Z94" s="1165"/>
      <c r="AA94" s="1165"/>
      <c r="AB94" s="1165"/>
      <c r="AC94" s="1165"/>
      <c r="AD94" s="1165"/>
      <c r="AE94" s="1165"/>
      <c r="AF94" s="1165"/>
      <c r="AG94" s="1165"/>
      <c r="AH94" s="1165"/>
      <c r="AI94" s="1165"/>
      <c r="AJ94" s="1165"/>
      <c r="AK94" s="1165"/>
      <c r="AL94" s="1165"/>
      <c r="AM94" s="1165"/>
      <c r="AN94" s="1165"/>
      <c r="AO94" s="1165"/>
      <c r="AP94" s="1165"/>
      <c r="AQ94" s="1165"/>
      <c r="AR94" s="1165"/>
      <c r="AS94" s="1165"/>
      <c r="AT94" s="1165"/>
      <c r="AU94" s="1165"/>
      <c r="AV94" s="1165"/>
      <c r="AW94" s="1165"/>
      <c r="AX94" s="1165"/>
      <c r="AY94" s="1166"/>
    </row>
    <row r="95" spans="1:51" x14ac:dyDescent="0.3">
      <c r="A95" s="1161" t="s">
        <v>264</v>
      </c>
      <c r="B95" s="1162"/>
      <c r="C95" s="1162"/>
      <c r="D95" s="1162"/>
      <c r="E95" s="1162"/>
      <c r="F95" s="1162"/>
      <c r="G95" s="1162"/>
      <c r="H95" s="1162"/>
      <c r="I95" s="1162"/>
      <c r="J95" s="1162"/>
      <c r="K95" s="1162"/>
      <c r="L95" s="1162"/>
      <c r="M95" s="1162"/>
      <c r="N95" s="1162"/>
      <c r="O95" s="1162"/>
      <c r="P95" s="1162"/>
      <c r="Q95" s="1162"/>
      <c r="R95" s="1162"/>
      <c r="S95" s="1162"/>
      <c r="T95" s="1162"/>
      <c r="U95" s="1162"/>
      <c r="V95" s="1162"/>
      <c r="W95" s="1162"/>
      <c r="X95" s="1162"/>
      <c r="Y95" s="1162"/>
      <c r="Z95" s="1162"/>
      <c r="AA95" s="1162"/>
      <c r="AB95" s="1162"/>
      <c r="AC95" s="1162"/>
      <c r="AD95" s="1162"/>
      <c r="AE95" s="1162"/>
      <c r="AF95" s="1162"/>
      <c r="AG95" s="1162"/>
      <c r="AH95" s="1162"/>
      <c r="AI95" s="1162"/>
      <c r="AJ95" s="1162"/>
      <c r="AK95" s="1162"/>
      <c r="AL95" s="1162"/>
      <c r="AM95" s="1162"/>
      <c r="AN95" s="1162"/>
      <c r="AO95" s="1162"/>
      <c r="AP95" s="1162"/>
      <c r="AQ95" s="1162"/>
      <c r="AR95" s="1162"/>
      <c r="AS95" s="1162"/>
      <c r="AT95" s="1162"/>
      <c r="AU95" s="1162"/>
      <c r="AV95" s="1162"/>
      <c r="AW95" s="1162"/>
      <c r="AX95" s="1162"/>
      <c r="AY95" s="1163"/>
    </row>
    <row r="96" spans="1:51" x14ac:dyDescent="0.3">
      <c r="A96" s="1164" t="s">
        <v>265</v>
      </c>
      <c r="B96" s="1165"/>
      <c r="C96" s="1165"/>
      <c r="D96" s="1165"/>
      <c r="E96" s="1165"/>
      <c r="F96" s="1165"/>
      <c r="G96" s="1165"/>
      <c r="H96" s="1165"/>
      <c r="I96" s="1165"/>
      <c r="J96" s="1165"/>
      <c r="K96" s="1165"/>
      <c r="L96" s="1165"/>
      <c r="M96" s="1165"/>
      <c r="N96" s="1165"/>
      <c r="O96" s="1165"/>
      <c r="P96" s="1165"/>
      <c r="Q96" s="1165"/>
      <c r="R96" s="1165"/>
      <c r="S96" s="1165"/>
      <c r="T96" s="1165"/>
      <c r="U96" s="1165"/>
      <c r="V96" s="1165"/>
      <c r="W96" s="1165"/>
      <c r="X96" s="1165"/>
      <c r="Y96" s="1165"/>
      <c r="Z96" s="1165"/>
      <c r="AA96" s="1165"/>
      <c r="AB96" s="1165"/>
      <c r="AC96" s="1165"/>
      <c r="AD96" s="1165"/>
      <c r="AE96" s="1165"/>
      <c r="AF96" s="1165"/>
      <c r="AG96" s="1165"/>
      <c r="AH96" s="1165"/>
      <c r="AI96" s="1165"/>
      <c r="AJ96" s="1165"/>
      <c r="AK96" s="1165"/>
      <c r="AL96" s="1165"/>
      <c r="AM96" s="1165"/>
      <c r="AN96" s="1165"/>
      <c r="AO96" s="1165"/>
      <c r="AP96" s="1165"/>
      <c r="AQ96" s="1165"/>
      <c r="AR96" s="1165"/>
      <c r="AS96" s="1165"/>
      <c r="AT96" s="1165"/>
      <c r="AU96" s="1165"/>
      <c r="AV96" s="1165"/>
      <c r="AW96" s="1165"/>
      <c r="AX96" s="1165"/>
      <c r="AY96" s="1166"/>
    </row>
    <row r="97" spans="1:51" x14ac:dyDescent="0.3">
      <c r="A97" s="1161" t="s">
        <v>266</v>
      </c>
      <c r="B97" s="1162"/>
      <c r="C97" s="1162"/>
      <c r="D97" s="1162"/>
      <c r="E97" s="1162"/>
      <c r="F97" s="1162"/>
      <c r="G97" s="1162"/>
      <c r="H97" s="1162"/>
      <c r="I97" s="1162"/>
      <c r="J97" s="1162"/>
      <c r="K97" s="1162"/>
      <c r="L97" s="1162"/>
      <c r="M97" s="1162"/>
      <c r="N97" s="1162"/>
      <c r="O97" s="1162"/>
      <c r="P97" s="1162"/>
      <c r="Q97" s="1162"/>
      <c r="R97" s="1162"/>
      <c r="S97" s="1162"/>
      <c r="T97" s="1162"/>
      <c r="U97" s="1162"/>
      <c r="V97" s="1162"/>
      <c r="W97" s="1162"/>
      <c r="X97" s="1162"/>
      <c r="Y97" s="1162"/>
      <c r="Z97" s="1162"/>
      <c r="AA97" s="1162"/>
      <c r="AB97" s="1162"/>
      <c r="AC97" s="1162"/>
      <c r="AD97" s="1162"/>
      <c r="AE97" s="1162"/>
      <c r="AF97" s="1162"/>
      <c r="AG97" s="1162"/>
      <c r="AH97" s="1162"/>
      <c r="AI97" s="1162"/>
      <c r="AJ97" s="1162"/>
      <c r="AK97" s="1162"/>
      <c r="AL97" s="1162"/>
      <c r="AM97" s="1162"/>
      <c r="AN97" s="1162"/>
      <c r="AO97" s="1162"/>
      <c r="AP97" s="1162"/>
      <c r="AQ97" s="1162"/>
      <c r="AR97" s="1162"/>
      <c r="AS97" s="1162"/>
      <c r="AT97" s="1162"/>
      <c r="AU97" s="1162"/>
      <c r="AV97" s="1162"/>
      <c r="AW97" s="1162"/>
      <c r="AX97" s="1162"/>
      <c r="AY97" s="1163"/>
    </row>
    <row r="98" spans="1:51" x14ac:dyDescent="0.3">
      <c r="A98" s="1164" t="s">
        <v>267</v>
      </c>
      <c r="B98" s="1165"/>
      <c r="C98" s="1165"/>
      <c r="D98" s="1165"/>
      <c r="E98" s="1165"/>
      <c r="F98" s="1165"/>
      <c r="G98" s="1165"/>
      <c r="H98" s="1165"/>
      <c r="I98" s="1165"/>
      <c r="J98" s="1165"/>
      <c r="K98" s="1165"/>
      <c r="L98" s="1165"/>
      <c r="M98" s="1165"/>
      <c r="N98" s="1165"/>
      <c r="O98" s="1165"/>
      <c r="P98" s="1165"/>
      <c r="Q98" s="1165"/>
      <c r="R98" s="1165"/>
      <c r="S98" s="1165"/>
      <c r="T98" s="1165"/>
      <c r="U98" s="1165"/>
      <c r="V98" s="1165"/>
      <c r="W98" s="1165"/>
      <c r="X98" s="1165"/>
      <c r="Y98" s="1165"/>
      <c r="Z98" s="1165"/>
      <c r="AA98" s="1165"/>
      <c r="AB98" s="1165"/>
      <c r="AC98" s="1165"/>
      <c r="AD98" s="1165"/>
      <c r="AE98" s="1165"/>
      <c r="AF98" s="1165"/>
      <c r="AG98" s="1165"/>
      <c r="AH98" s="1165"/>
      <c r="AI98" s="1165"/>
      <c r="AJ98" s="1165"/>
      <c r="AK98" s="1165"/>
      <c r="AL98" s="1165"/>
      <c r="AM98" s="1165"/>
      <c r="AN98" s="1165"/>
      <c r="AO98" s="1165"/>
      <c r="AP98" s="1165"/>
      <c r="AQ98" s="1165"/>
      <c r="AR98" s="1165"/>
      <c r="AS98" s="1165"/>
      <c r="AT98" s="1165"/>
      <c r="AU98" s="1165"/>
      <c r="AV98" s="1165"/>
      <c r="AW98" s="1165"/>
      <c r="AX98" s="1165"/>
      <c r="AY98" s="1166"/>
    </row>
    <row r="99" spans="1:51" x14ac:dyDescent="0.3">
      <c r="A99" s="1161" t="s">
        <v>268</v>
      </c>
      <c r="B99" s="1162"/>
      <c r="C99" s="1162"/>
      <c r="D99" s="1162"/>
      <c r="E99" s="1162"/>
      <c r="F99" s="1162"/>
      <c r="G99" s="1162"/>
      <c r="H99" s="1162"/>
      <c r="I99" s="1162"/>
      <c r="J99" s="1162"/>
      <c r="K99" s="1162"/>
      <c r="L99" s="1162"/>
      <c r="M99" s="1162"/>
      <c r="N99" s="1162"/>
      <c r="O99" s="1162"/>
      <c r="P99" s="1162"/>
      <c r="Q99" s="1162"/>
      <c r="R99" s="1162"/>
      <c r="S99" s="1162"/>
      <c r="T99" s="1162"/>
      <c r="U99" s="1162"/>
      <c r="V99" s="1162"/>
      <c r="W99" s="1162"/>
      <c r="X99" s="1162"/>
      <c r="Y99" s="1162"/>
      <c r="Z99" s="1162"/>
      <c r="AA99" s="1162"/>
      <c r="AB99" s="1162"/>
      <c r="AC99" s="1162"/>
      <c r="AD99" s="1162"/>
      <c r="AE99" s="1162"/>
      <c r="AF99" s="1162"/>
      <c r="AG99" s="1162"/>
      <c r="AH99" s="1162"/>
      <c r="AI99" s="1162"/>
      <c r="AJ99" s="1162"/>
      <c r="AK99" s="1162"/>
      <c r="AL99" s="1162"/>
      <c r="AM99" s="1162"/>
      <c r="AN99" s="1162"/>
      <c r="AO99" s="1162"/>
      <c r="AP99" s="1162"/>
      <c r="AQ99" s="1162"/>
      <c r="AR99" s="1162"/>
      <c r="AS99" s="1162"/>
      <c r="AT99" s="1162"/>
      <c r="AU99" s="1162"/>
      <c r="AV99" s="1162"/>
      <c r="AW99" s="1162"/>
      <c r="AX99" s="1162"/>
      <c r="AY99" s="1163"/>
    </row>
    <row r="100" spans="1:51" x14ac:dyDescent="0.3">
      <c r="A100" s="1164" t="s">
        <v>269</v>
      </c>
      <c r="B100" s="1165"/>
      <c r="C100" s="1165"/>
      <c r="D100" s="1165"/>
      <c r="E100" s="1165"/>
      <c r="F100" s="1165"/>
      <c r="G100" s="1165"/>
      <c r="H100" s="1165"/>
      <c r="I100" s="1165"/>
      <c r="J100" s="1165"/>
      <c r="K100" s="1165"/>
      <c r="L100" s="1165"/>
      <c r="M100" s="1165"/>
      <c r="N100" s="1165"/>
      <c r="O100" s="1165"/>
      <c r="P100" s="1165"/>
      <c r="Q100" s="1165"/>
      <c r="R100" s="1165"/>
      <c r="S100" s="1165"/>
      <c r="T100" s="1165"/>
      <c r="U100" s="1165"/>
      <c r="V100" s="1165"/>
      <c r="W100" s="1165"/>
      <c r="X100" s="1165"/>
      <c r="Y100" s="1165"/>
      <c r="Z100" s="1165"/>
      <c r="AA100" s="1165"/>
      <c r="AB100" s="1165"/>
      <c r="AC100" s="1165"/>
      <c r="AD100" s="1165"/>
      <c r="AE100" s="1165"/>
      <c r="AF100" s="1165"/>
      <c r="AG100" s="1165"/>
      <c r="AH100" s="1165"/>
      <c r="AI100" s="1165"/>
      <c r="AJ100" s="1165"/>
      <c r="AK100" s="1165"/>
      <c r="AL100" s="1165"/>
      <c r="AM100" s="1165"/>
      <c r="AN100" s="1165"/>
      <c r="AO100" s="1165"/>
      <c r="AP100" s="1165"/>
      <c r="AQ100" s="1165"/>
      <c r="AR100" s="1165"/>
      <c r="AS100" s="1165"/>
      <c r="AT100" s="1165"/>
      <c r="AU100" s="1165"/>
      <c r="AV100" s="1165"/>
      <c r="AW100" s="1165"/>
      <c r="AX100" s="1165"/>
      <c r="AY100" s="1166"/>
    </row>
    <row r="101" spans="1:51" x14ac:dyDescent="0.3">
      <c r="A101" s="1161" t="s">
        <v>270</v>
      </c>
      <c r="B101" s="1162"/>
      <c r="C101" s="1162"/>
      <c r="D101" s="1162"/>
      <c r="E101" s="1162"/>
      <c r="F101" s="1162"/>
      <c r="G101" s="1162"/>
      <c r="H101" s="1162"/>
      <c r="I101" s="1162"/>
      <c r="J101" s="1162"/>
      <c r="K101" s="1162"/>
      <c r="L101" s="1162"/>
      <c r="M101" s="1162"/>
      <c r="N101" s="1162"/>
      <c r="O101" s="1162"/>
      <c r="P101" s="1162"/>
      <c r="Q101" s="1162"/>
      <c r="R101" s="1162"/>
      <c r="S101" s="1162"/>
      <c r="T101" s="1162"/>
      <c r="U101" s="1162"/>
      <c r="V101" s="1162"/>
      <c r="W101" s="1162"/>
      <c r="X101" s="1162"/>
      <c r="Y101" s="1162"/>
      <c r="Z101" s="1162"/>
      <c r="AA101" s="1162"/>
      <c r="AB101" s="1162"/>
      <c r="AC101" s="1162"/>
      <c r="AD101" s="1162"/>
      <c r="AE101" s="1162"/>
      <c r="AF101" s="1162"/>
      <c r="AG101" s="1162"/>
      <c r="AH101" s="1162"/>
      <c r="AI101" s="1162"/>
      <c r="AJ101" s="1162"/>
      <c r="AK101" s="1162"/>
      <c r="AL101" s="1162"/>
      <c r="AM101" s="1162"/>
      <c r="AN101" s="1162"/>
      <c r="AO101" s="1162"/>
      <c r="AP101" s="1162"/>
      <c r="AQ101" s="1162"/>
      <c r="AR101" s="1162"/>
      <c r="AS101" s="1162"/>
      <c r="AT101" s="1162"/>
      <c r="AU101" s="1162"/>
      <c r="AV101" s="1162"/>
      <c r="AW101" s="1162"/>
      <c r="AX101" s="1162"/>
      <c r="AY101" s="1163"/>
    </row>
    <row r="102" spans="1:51" x14ac:dyDescent="0.3">
      <c r="A102" s="1164" t="s">
        <v>271</v>
      </c>
      <c r="B102" s="1165"/>
      <c r="C102" s="1165"/>
      <c r="D102" s="1165"/>
      <c r="E102" s="1165"/>
      <c r="F102" s="1165"/>
      <c r="G102" s="1165"/>
      <c r="H102" s="1165"/>
      <c r="I102" s="1165"/>
      <c r="J102" s="1165"/>
      <c r="K102" s="1165"/>
      <c r="L102" s="1165"/>
      <c r="M102" s="1165"/>
      <c r="N102" s="1165"/>
      <c r="O102" s="1165"/>
      <c r="P102" s="1165"/>
      <c r="Q102" s="1165"/>
      <c r="R102" s="1165"/>
      <c r="S102" s="1165"/>
      <c r="T102" s="1165"/>
      <c r="U102" s="1165"/>
      <c r="V102" s="1165"/>
      <c r="W102" s="1165"/>
      <c r="X102" s="1165"/>
      <c r="Y102" s="1165"/>
      <c r="Z102" s="1165"/>
      <c r="AA102" s="1165"/>
      <c r="AB102" s="1165"/>
      <c r="AC102" s="1165"/>
      <c r="AD102" s="1165"/>
      <c r="AE102" s="1165"/>
      <c r="AF102" s="1165"/>
      <c r="AG102" s="1165"/>
      <c r="AH102" s="1165"/>
      <c r="AI102" s="1165"/>
      <c r="AJ102" s="1165"/>
      <c r="AK102" s="1165"/>
      <c r="AL102" s="1165"/>
      <c r="AM102" s="1165"/>
      <c r="AN102" s="1165"/>
      <c r="AO102" s="1165"/>
      <c r="AP102" s="1165"/>
      <c r="AQ102" s="1165"/>
      <c r="AR102" s="1165"/>
      <c r="AS102" s="1165"/>
      <c r="AT102" s="1165"/>
      <c r="AU102" s="1165"/>
      <c r="AV102" s="1165"/>
      <c r="AW102" s="1165"/>
      <c r="AX102" s="1165"/>
      <c r="AY102" s="1166"/>
    </row>
    <row r="103" spans="1:51" x14ac:dyDescent="0.3">
      <c r="A103" s="1161" t="s">
        <v>272</v>
      </c>
      <c r="B103" s="1162"/>
      <c r="C103" s="1162"/>
      <c r="D103" s="1162"/>
      <c r="E103" s="1162"/>
      <c r="F103" s="1162"/>
      <c r="G103" s="1162"/>
      <c r="H103" s="1162"/>
      <c r="I103" s="1162"/>
      <c r="J103" s="1162"/>
      <c r="K103" s="1162"/>
      <c r="L103" s="1162"/>
      <c r="M103" s="1162"/>
      <c r="N103" s="1162"/>
      <c r="O103" s="1162"/>
      <c r="P103" s="1162"/>
      <c r="Q103" s="1162"/>
      <c r="R103" s="1162"/>
      <c r="S103" s="1162"/>
      <c r="T103" s="1162"/>
      <c r="U103" s="1162"/>
      <c r="V103" s="1162"/>
      <c r="W103" s="1162"/>
      <c r="X103" s="1162"/>
      <c r="Y103" s="1162"/>
      <c r="Z103" s="1162"/>
      <c r="AA103" s="1162"/>
      <c r="AB103" s="1162"/>
      <c r="AC103" s="1162"/>
      <c r="AD103" s="1162"/>
      <c r="AE103" s="1162"/>
      <c r="AF103" s="1162"/>
      <c r="AG103" s="1162"/>
      <c r="AH103" s="1162"/>
      <c r="AI103" s="1162"/>
      <c r="AJ103" s="1162"/>
      <c r="AK103" s="1162"/>
      <c r="AL103" s="1162"/>
      <c r="AM103" s="1162"/>
      <c r="AN103" s="1162"/>
      <c r="AO103" s="1162"/>
      <c r="AP103" s="1162"/>
      <c r="AQ103" s="1162"/>
      <c r="AR103" s="1162"/>
      <c r="AS103" s="1162"/>
      <c r="AT103" s="1162"/>
      <c r="AU103" s="1162"/>
      <c r="AV103" s="1162"/>
      <c r="AW103" s="1162"/>
      <c r="AX103" s="1162"/>
      <c r="AY103" s="1163"/>
    </row>
    <row r="104" spans="1:51" x14ac:dyDescent="0.3">
      <c r="A104" s="1164" t="s">
        <v>273</v>
      </c>
      <c r="B104" s="1165"/>
      <c r="C104" s="1165"/>
      <c r="D104" s="1165"/>
      <c r="E104" s="1165"/>
      <c r="F104" s="1165"/>
      <c r="G104" s="1165"/>
      <c r="H104" s="1165"/>
      <c r="I104" s="1165"/>
      <c r="J104" s="1165"/>
      <c r="K104" s="1165"/>
      <c r="L104" s="1165"/>
      <c r="M104" s="1165"/>
      <c r="N104" s="1165"/>
      <c r="O104" s="1165"/>
      <c r="P104" s="1165"/>
      <c r="Q104" s="1165"/>
      <c r="R104" s="1165"/>
      <c r="S104" s="1165"/>
      <c r="T104" s="1165"/>
      <c r="U104" s="1165"/>
      <c r="V104" s="1165"/>
      <c r="W104" s="1165"/>
      <c r="X104" s="1165"/>
      <c r="Y104" s="1165"/>
      <c r="Z104" s="1165"/>
      <c r="AA104" s="1165"/>
      <c r="AB104" s="1165"/>
      <c r="AC104" s="1165"/>
      <c r="AD104" s="1165"/>
      <c r="AE104" s="1165"/>
      <c r="AF104" s="1165"/>
      <c r="AG104" s="1165"/>
      <c r="AH104" s="1165"/>
      <c r="AI104" s="1165"/>
      <c r="AJ104" s="1165"/>
      <c r="AK104" s="1165"/>
      <c r="AL104" s="1165"/>
      <c r="AM104" s="1165"/>
      <c r="AN104" s="1165"/>
      <c r="AO104" s="1165"/>
      <c r="AP104" s="1165"/>
      <c r="AQ104" s="1165"/>
      <c r="AR104" s="1165"/>
      <c r="AS104" s="1165"/>
      <c r="AT104" s="1165"/>
      <c r="AU104" s="1165"/>
      <c r="AV104" s="1165"/>
      <c r="AW104" s="1165"/>
      <c r="AX104" s="1165"/>
      <c r="AY104" s="1166"/>
    </row>
    <row r="105" spans="1:51" x14ac:dyDescent="0.3">
      <c r="A105" s="1161" t="s">
        <v>274</v>
      </c>
      <c r="B105" s="1162"/>
      <c r="C105" s="1162"/>
      <c r="D105" s="1162"/>
      <c r="E105" s="1162"/>
      <c r="F105" s="1162"/>
      <c r="G105" s="1162"/>
      <c r="H105" s="1162"/>
      <c r="I105" s="1162"/>
      <c r="J105" s="1162"/>
      <c r="K105" s="1162"/>
      <c r="L105" s="1162"/>
      <c r="M105" s="1162"/>
      <c r="N105" s="1162"/>
      <c r="O105" s="1162"/>
      <c r="P105" s="1162"/>
      <c r="Q105" s="1162"/>
      <c r="R105" s="1162"/>
      <c r="S105" s="1162"/>
      <c r="T105" s="1162"/>
      <c r="U105" s="1162"/>
      <c r="V105" s="1162"/>
      <c r="W105" s="1162"/>
      <c r="X105" s="1162"/>
      <c r="Y105" s="1162"/>
      <c r="Z105" s="1162"/>
      <c r="AA105" s="1162"/>
      <c r="AB105" s="1162"/>
      <c r="AC105" s="1162"/>
      <c r="AD105" s="1162"/>
      <c r="AE105" s="1162"/>
      <c r="AF105" s="1162"/>
      <c r="AG105" s="1162"/>
      <c r="AH105" s="1162"/>
      <c r="AI105" s="1162"/>
      <c r="AJ105" s="1162"/>
      <c r="AK105" s="1162"/>
      <c r="AL105" s="1162"/>
      <c r="AM105" s="1162"/>
      <c r="AN105" s="1162"/>
      <c r="AO105" s="1162"/>
      <c r="AP105" s="1162"/>
      <c r="AQ105" s="1162"/>
      <c r="AR105" s="1162"/>
      <c r="AS105" s="1162"/>
      <c r="AT105" s="1162"/>
      <c r="AU105" s="1162"/>
      <c r="AV105" s="1162"/>
      <c r="AW105" s="1162"/>
      <c r="AX105" s="1162"/>
      <c r="AY105" s="1163"/>
    </row>
    <row r="106" spans="1:51" x14ac:dyDescent="0.3">
      <c r="A106" s="1164" t="s">
        <v>275</v>
      </c>
      <c r="B106" s="1165"/>
      <c r="C106" s="1165"/>
      <c r="D106" s="1165"/>
      <c r="E106" s="1165"/>
      <c r="F106" s="1165"/>
      <c r="G106" s="1165"/>
      <c r="H106" s="1165"/>
      <c r="I106" s="1165"/>
      <c r="J106" s="1165"/>
      <c r="K106" s="1165"/>
      <c r="L106" s="1165"/>
      <c r="M106" s="1165"/>
      <c r="N106" s="1165"/>
      <c r="O106" s="1165"/>
      <c r="P106" s="1165"/>
      <c r="Q106" s="1165"/>
      <c r="R106" s="1165"/>
      <c r="S106" s="1165"/>
      <c r="T106" s="1165"/>
      <c r="U106" s="1165"/>
      <c r="V106" s="1165"/>
      <c r="W106" s="1165"/>
      <c r="X106" s="1165"/>
      <c r="Y106" s="1165"/>
      <c r="Z106" s="1165"/>
      <c r="AA106" s="1165"/>
      <c r="AB106" s="1165"/>
      <c r="AC106" s="1165"/>
      <c r="AD106" s="1165"/>
      <c r="AE106" s="1165"/>
      <c r="AF106" s="1165"/>
      <c r="AG106" s="1165"/>
      <c r="AH106" s="1165"/>
      <c r="AI106" s="1165"/>
      <c r="AJ106" s="1165"/>
      <c r="AK106" s="1165"/>
      <c r="AL106" s="1165"/>
      <c r="AM106" s="1165"/>
      <c r="AN106" s="1165"/>
      <c r="AO106" s="1165"/>
      <c r="AP106" s="1165"/>
      <c r="AQ106" s="1165"/>
      <c r="AR106" s="1165"/>
      <c r="AS106" s="1165"/>
      <c r="AT106" s="1165"/>
      <c r="AU106" s="1165"/>
      <c r="AV106" s="1165"/>
      <c r="AW106" s="1165"/>
      <c r="AX106" s="1165"/>
      <c r="AY106" s="1166"/>
    </row>
    <row r="107" spans="1:51" x14ac:dyDescent="0.3">
      <c r="A107" s="1167" t="s">
        <v>276</v>
      </c>
      <c r="B107" s="1168"/>
      <c r="C107" s="1168"/>
      <c r="D107" s="1168"/>
      <c r="E107" s="1168"/>
      <c r="F107" s="1168"/>
      <c r="G107" s="1168"/>
      <c r="H107" s="1168"/>
      <c r="I107" s="1168"/>
      <c r="J107" s="1168"/>
      <c r="K107" s="1168"/>
      <c r="L107" s="1168"/>
      <c r="M107" s="1168"/>
      <c r="N107" s="1168"/>
      <c r="O107" s="1168"/>
      <c r="P107" s="1168"/>
      <c r="Q107" s="1168"/>
      <c r="R107" s="1168"/>
      <c r="S107" s="1168"/>
      <c r="T107" s="1168"/>
      <c r="U107" s="1168"/>
      <c r="V107" s="1168"/>
      <c r="W107" s="1168"/>
      <c r="X107" s="1168"/>
      <c r="Y107" s="1168"/>
      <c r="Z107" s="1168"/>
      <c r="AA107" s="1168"/>
      <c r="AB107" s="1168"/>
      <c r="AC107" s="1168"/>
      <c r="AD107" s="1168"/>
      <c r="AE107" s="1168"/>
      <c r="AF107" s="1168"/>
      <c r="AG107" s="1168"/>
      <c r="AH107" s="1168"/>
      <c r="AI107" s="1168"/>
      <c r="AJ107" s="1168"/>
      <c r="AK107" s="1168"/>
      <c r="AL107" s="1168"/>
      <c r="AM107" s="1168"/>
      <c r="AN107" s="1168"/>
      <c r="AO107" s="1168"/>
      <c r="AP107" s="1168"/>
      <c r="AQ107" s="1168"/>
      <c r="AR107" s="1168"/>
      <c r="AS107" s="1168"/>
      <c r="AT107" s="1168"/>
      <c r="AU107" s="1168"/>
      <c r="AV107" s="1168"/>
      <c r="AW107" s="1168"/>
      <c r="AX107" s="1168"/>
      <c r="AY107" s="1169"/>
    </row>
    <row r="108" spans="1:51" ht="15" thickBot="1" x14ac:dyDescent="0.35">
      <c r="A108" s="1170" t="s">
        <v>277</v>
      </c>
      <c r="B108" s="1171"/>
      <c r="C108" s="1171"/>
      <c r="D108" s="1171"/>
      <c r="E108" s="1171"/>
      <c r="F108" s="1171"/>
      <c r="G108" s="1171"/>
      <c r="H108" s="1171"/>
      <c r="I108" s="1171"/>
      <c r="J108" s="1171"/>
      <c r="K108" s="1171"/>
      <c r="L108" s="1171"/>
      <c r="M108" s="1171"/>
      <c r="N108" s="1171"/>
      <c r="O108" s="1171"/>
      <c r="P108" s="1171"/>
      <c r="Q108" s="1171"/>
      <c r="R108" s="1171"/>
      <c r="S108" s="1171"/>
      <c r="T108" s="1171"/>
      <c r="U108" s="1171"/>
      <c r="V108" s="1171"/>
      <c r="W108" s="1171"/>
      <c r="X108" s="1171"/>
      <c r="Y108" s="1171"/>
      <c r="Z108" s="1171"/>
      <c r="AA108" s="1171"/>
      <c r="AB108" s="1171"/>
      <c r="AC108" s="1171"/>
      <c r="AD108" s="1171"/>
      <c r="AE108" s="1171"/>
      <c r="AF108" s="1171"/>
      <c r="AG108" s="1171"/>
      <c r="AH108" s="1171"/>
      <c r="AI108" s="1171"/>
      <c r="AJ108" s="1171"/>
      <c r="AK108" s="1171"/>
      <c r="AL108" s="1171"/>
      <c r="AM108" s="1171"/>
      <c r="AN108" s="1171"/>
      <c r="AO108" s="1171"/>
      <c r="AP108" s="1171"/>
      <c r="AQ108" s="1171"/>
      <c r="AR108" s="1171"/>
      <c r="AS108" s="1171"/>
      <c r="AT108" s="1171"/>
      <c r="AU108" s="1171"/>
      <c r="AV108" s="1171"/>
      <c r="AW108" s="1171"/>
      <c r="AX108" s="1171"/>
      <c r="AY108" s="1172"/>
    </row>
  </sheetData>
  <sheetProtection algorithmName="SHA-512" hashValue="INLzfvJsGX0DKgX/fiGOUVfl7c4kM4O5Q8sMv5c/l0tBs6bnW1Bna2P1fsMyr7my5G9LXsz3ye4g53APQOd1hA==" saltValue="wdlhnDoW+FVkRQFvH+gYpA==" spinCount="100000" sheet="1" formatColumns="0" formatRows="0" insertRows="0"/>
  <mergeCells count="46">
    <mergeCell ref="A78:AY78"/>
    <mergeCell ref="A77:AY77"/>
    <mergeCell ref="A76:AY76"/>
    <mergeCell ref="A69:AY69"/>
    <mergeCell ref="A70:AY70"/>
    <mergeCell ref="A71:AY71"/>
    <mergeCell ref="A74:AY74"/>
    <mergeCell ref="A75:AY75"/>
    <mergeCell ref="A72:AY72"/>
    <mergeCell ref="A73:AY73"/>
    <mergeCell ref="A83:AY83"/>
    <mergeCell ref="A82:AY82"/>
    <mergeCell ref="A81:AY81"/>
    <mergeCell ref="A80:AY80"/>
    <mergeCell ref="A79:AY79"/>
    <mergeCell ref="A67:AY67"/>
    <mergeCell ref="A68:AY68"/>
    <mergeCell ref="A65:AY65"/>
    <mergeCell ref="A66:AY66"/>
    <mergeCell ref="A62:AY62"/>
    <mergeCell ref="A63:AY63"/>
    <mergeCell ref="A64:AY64"/>
    <mergeCell ref="A85:AY85"/>
    <mergeCell ref="A86:AY86"/>
    <mergeCell ref="A87:AY87"/>
    <mergeCell ref="A88:AY88"/>
    <mergeCell ref="A89:AY89"/>
    <mergeCell ref="A90:AY90"/>
    <mergeCell ref="A91:AY91"/>
    <mergeCell ref="A92:AY92"/>
    <mergeCell ref="A93:AY93"/>
    <mergeCell ref="A94:AY94"/>
    <mergeCell ref="A95:AY95"/>
    <mergeCell ref="A96:AY96"/>
    <mergeCell ref="A97:AY97"/>
    <mergeCell ref="A98:AY98"/>
    <mergeCell ref="A99:AY99"/>
    <mergeCell ref="A105:AY105"/>
    <mergeCell ref="A106:AY106"/>
    <mergeCell ref="A107:AY107"/>
    <mergeCell ref="A108:AY108"/>
    <mergeCell ref="A100:AY100"/>
    <mergeCell ref="A101:AY101"/>
    <mergeCell ref="A102:AY102"/>
    <mergeCell ref="A103:AY103"/>
    <mergeCell ref="A104:AY104"/>
  </mergeCells>
  <conditionalFormatting sqref="A52:A65">
    <cfRule type="expression" dxfId="33" priority="4">
      <formula>OR($B$8="Liquid", $B$8="Gas")</formula>
    </cfRule>
  </conditionalFormatting>
  <conditionalFormatting sqref="B52:F61">
    <cfRule type="expression" dxfId="32" priority="1">
      <formula>OR($B$8="Liquid", $B$8="Gas")</formula>
    </cfRule>
  </conditionalFormatting>
  <dataValidations count="10">
    <dataValidation type="decimal" operator="equal" allowBlank="1" showInputMessage="1" showErrorMessage="1" sqref="D33:D38 D2:D5 E2:E10 D7:D30 E12:E61 C2:C61 D40:D61" xr:uid="{B9E72725-B615-4B6F-B4D3-FFF75C2E5FEF}">
      <formula1>C2</formula1>
    </dataValidation>
    <dataValidation type="decimal" operator="equal" allowBlank="1" showInputMessage="1" showErrorMessage="1" prompt="Typical Density values range from 1,01 to 1,06. The typical value in the table is the average of this range" sqref="D6" xr:uid="{ACFC4CD2-A7DA-47FC-B178-2418F01E07E6}">
      <formula1>D6</formula1>
    </dataValidation>
    <dataValidation type="decimal" operator="equal" allowBlank="1" showInputMessage="1" showErrorMessage="1" prompt="Typical Density values range from 0,45 to 0,50. The typical value in the table is the average of this range" sqref="E11" xr:uid="{49A4215D-0EF9-4AD1-81EB-37EF897009E4}">
      <formula1>E11</formula1>
    </dataValidation>
    <dataValidation type="decimal" operator="equal" allowBlank="1" showInputMessage="1" showErrorMessage="1" prompt="Typical Density values range from 0,70 to 0,95. The typical value in the table is the average of this range" sqref="D39" xr:uid="{0F40A6B8-43E4-4E29-9352-F9E90B5B64BA}">
      <formula1>D39</formula1>
    </dataValidation>
    <dataValidation type="list" allowBlank="1" showInputMessage="1" showErrorMessage="1" sqref="B52:B61" xr:uid="{72EA90A7-FFB4-470E-AE11-EB23E10FD893}">
      <formula1>enum_ListStateOfMatter</formula1>
    </dataValidation>
    <dataValidation type="list" allowBlank="1" showInputMessage="1" showErrorMessage="1" sqref="F2:F61" xr:uid="{3AEA70C2-6B8A-4014-8796-BB574CA63202}">
      <formula1>enum_ListRenewabilityState</formula1>
    </dataValidation>
    <dataValidation allowBlank="1" showInputMessage="1" showErrorMessage="1" prompt="Distillates: distillate oil, distllate fuel oil No.1, distllate fuel No.2 and distllate fuel No.4" sqref="A13" xr:uid="{521E20DF-4831-42D5-BFB8-EDD263C2D345}"/>
    <dataValidation allowBlank="1" showInputMessage="1" showErrorMessage="1" prompt="Isomers: isobutane and n-butane" sqref="A9" xr:uid="{61769D3C-8375-4DF6-9D6F-B30B72A1112B}"/>
    <dataValidation type="decimal" operator="equal" allowBlank="1" showInputMessage="1" showErrorMessage="1" prompt="Typical Density values range from 0,90 to 1,00. The typical value in the table is the average of this range" sqref="D31" xr:uid="{822C9C6C-3878-4818-AF32-BF2496F18992}">
      <formula1>D31</formula1>
    </dataValidation>
    <dataValidation type="decimal" operator="equal" allowBlank="1" showInputMessage="1" showErrorMessage="1" prompt="Typical Density values range from 1,00 to 1,26. The typical value in the table is the average of this range" sqref="D32" xr:uid="{A6BA9200-7D6D-4B93-9104-B0AF279C0588}">
      <formula1>D32</formula1>
    </dataValidation>
  </dataValidations>
  <hyperlinks>
    <hyperlink ref="A64:AY64" r:id="rId1" display="Available at: https://cdn.cdp.net/cdp-production/cms/guidance_docs/pdfs/000/000/477/original/CDP-Conversion-of-fuel-data-to-MWh.pdf?1479755175." xr:uid="{27FF9CB9-20A9-4A71-B1A1-063338601118}"/>
    <hyperlink ref="A67:AY67" r:id="rId2" display="available at: https://www.engineeringtoolbox.com/gasoline-density-specific-heat-dynamic-kinematic-viscosity-thermal-conductivity-vs-temperature-d_2224.html;" xr:uid="{DC963CA6-F723-4803-82F0-AFCB2ACA3C5D}"/>
    <hyperlink ref="A69:AY69" r:id="rId3" display="available at: https://atdmco.com/wiki-density-of-bitumen/;" xr:uid="{A23B6A95-8C61-41B0-8BBB-0478B875DCAA}"/>
    <hyperlink ref="A71" r:id="rId4" display="https://engineeringtoolbox.com/gas-density-d_158.html" xr:uid="{65209AF9-0551-4757-A1CA-8A4D1E0BB2D9}"/>
    <hyperlink ref="A73:AY73" r:id="rId5" display="avalable at: https://www.energuide.be/en/questions-answers/what-is-the-calorific-value-of-gas/9655/;" xr:uid="{5252A750-7A22-49F3-84CD-A9AB51C7B5C5}"/>
    <hyperlink ref="A75:AY75" r:id="rId6" display="available at: http://cyyenergy.com/en/Products/info_itemid_138.html;" xr:uid="{3D00E0B0-6C86-4B8F-801B-DD7B026CCC4C}"/>
    <hyperlink ref="A77:AY77" r:id="rId7" display="available at: https://op.europa.eu/en/publication-detail/-/publication/eaa047e8-644c-4149-bdcb-9dde79c64a12;" xr:uid="{84B89A79-4096-42BC-83DC-D6C99B415AA0}"/>
    <hyperlink ref="A78:AY78" r:id="rId8" display="https://www.bhel.com/sites/default/files/gas-properties-cog-1580716150.pdf" xr:uid="{1F106847-6153-4553-822D-3022773EB508}"/>
    <hyperlink ref="A80:AY80" r:id="rId9" display="available at: https://www.engineeringtoolbox.com/fuels-densities-specific-volumes-d_166.html;" xr:uid="{41D06FEC-5DAB-42F3-9929-25E74C8DA06C}"/>
    <hyperlink ref="A81" r:id="rId10" display="https://www.exxonmobil.com/en-bd/commercial-fuel/pds/gl-xx-jetfuel-series" xr:uid="{D656D139-C6D3-4BEC-8575-826FB2FBC89E}"/>
    <hyperlink ref="A83" r:id="rId11" location=":~:text=Commission%20Implementing%20Regulation%20(EU)%202018,(Text%20with%20EEA%20relevance.)" display="https://eur-lex.europa.eu/eli/reg_impl/2018/2066/oj/eng#:~:text=Commission%20Implementing%20Regulation%20(EU)%202018,(Text%20with%20EEA%20relevance.)" xr:uid="{1ED24B18-7FCB-4700-88CC-AAE69489AAC4}"/>
    <hyperlink ref="A86" r:id="rId12" display="https://www.researchgate.net/figure/Density-and-viscosity-of-shale-oil-in-Lucaogou-Formation-Jimsar-Sag_tbl1_336793871" xr:uid="{4637798D-6A05-4A1F-9F1D-FF57A037655D}"/>
    <hyperlink ref="A85" r:id="rId13" display="https://osf.io/s2qbt" xr:uid="{C86B1DF4-B636-4B95-9606-73CB895B78CF}"/>
    <hyperlink ref="A88" r:id="rId14" display="https://archive.epa.gov/emergencies/content/fss/web/pdf/orimuls.pdf" xr:uid="{4DF1924C-E295-46EB-BF49-A63F606125E0}"/>
    <hyperlink ref="A90" r:id="rId15" display="https://op.europa.eu/en/publication-detail/-/publication/eaa047e8-644c-4149-bdcb-9dde79c64a12" xr:uid="{9C54F48E-029C-4831-BAD5-B1AB08C9CEC9}"/>
    <hyperlink ref="A92" r:id="rId16" display="https://www.engineeringtoolbox.com/propane-C3H8-density-specific-weight-temperature-pressure-d_2033.html?vA=15&amp;degree" xr:uid="{6E30AE6A-F48F-482E-A161-54BEAF35FA4E}"/>
    <hyperlink ref="A94" r:id="rId17" display="https://eippcb.jrc.ec.europa.eu/sites/default/files/2020-03/superseded_ref_bref-0203.pdf" xr:uid="{A5C6181E-A3EE-4AE8-A412-196F41B36801}"/>
    <hyperlink ref="A96" r:id="rId18" display="http://www.ipcc-nggip.iges.or.jp/efdb/find_ef_ft.php" xr:uid="{AB4A9A02-50A6-492C-88FE-B739DEBB067D}"/>
    <hyperlink ref="A98" r:id="rId19" display="https://captainslog.gr/wp-content/uploads/2020/12/Sulphite-Lye-Cafn.pdf" xr:uid="{A8C41CAF-FB76-4A97-A3BF-20CB7E930F17}"/>
    <hyperlink ref="A100" r:id="rId20" display="https://iopscience.iop.org/article/10.1088/1757-899X/912/4/042075" xr:uid="{C8BD2AD6-3C40-4BE2-935D-7B67472A58DE}"/>
    <hyperlink ref="A102" r:id="rId21" display="https://www.engineeringtoolbox.com/fuels-higher-calorific-values-d_169.html" xr:uid="{C997A482-C9A4-48D6-873C-24831ABC3379}"/>
    <hyperlink ref="A104" r:id="rId22" display="https://ehs.cranesville.com/msds.pdfs/MSDS(U003).pdf" xr:uid="{DE395B1D-CB0A-4D92-8553-CC02992F8176}"/>
    <hyperlink ref="A106" r:id="rId23" display="https://www.mdpi.com/2673-5628/5/1/6;" xr:uid="{F4192789-20AE-44F4-976E-1B6EF793EB8A}"/>
    <hyperlink ref="A108" r:id="rId24" display="https://www.shell.com/business-customers/chemicals/our-products/solvents-hydrocarbon/special-boiling-point-solvents/sbp-140-165.html." xr:uid="{F5D06771-81E7-4BBC-83EA-A9B7730857A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AF9C0-0E26-4EF2-94F7-834DCDFA296C}">
  <sheetPr codeName="Sheet8">
    <pageSetUpPr autoPageBreaks="0"/>
  </sheetPr>
  <dimension ref="A1:AK136"/>
  <sheetViews>
    <sheetView zoomScaleNormal="100" workbookViewId="0">
      <selection sqref="A1:C1"/>
    </sheetView>
  </sheetViews>
  <sheetFormatPr baseColWidth="10" defaultColWidth="8.88671875" defaultRowHeight="14.4" x14ac:dyDescent="0.3"/>
  <cols>
    <col min="1" max="1" width="12.6640625" bestFit="1" customWidth="1"/>
    <col min="2" max="2" width="19.44140625" bestFit="1" customWidth="1"/>
    <col min="3" max="3" width="10.5546875" customWidth="1"/>
    <col min="4" max="4" width="43" customWidth="1"/>
    <col min="5" max="6" width="8.6640625" style="10"/>
    <col min="7" max="7" width="115.6640625" style="10" customWidth="1"/>
    <col min="8" max="37" width="8.6640625" style="10"/>
  </cols>
  <sheetData>
    <row r="1" spans="1:7" s="10" customFormat="1" ht="15.6" thickTop="1" thickBot="1" x14ac:dyDescent="0.35">
      <c r="A1" s="1205" t="str">
        <f>template_label_unit_of_measurement_converter</f>
        <v>Convertisseur d'unité de mesure</v>
      </c>
      <c r="B1" s="1206"/>
      <c r="C1" s="1207"/>
    </row>
    <row r="2" spans="1:7" s="10" customFormat="1" ht="15" thickTop="1" x14ac:dyDescent="0.3">
      <c r="A2" s="18"/>
      <c r="B2" s="18"/>
      <c r="C2" s="18"/>
    </row>
    <row r="3" spans="1:7" ht="15" thickBot="1" x14ac:dyDescent="0.35">
      <c r="A3" s="10"/>
      <c r="B3" s="10"/>
      <c r="C3" s="10"/>
      <c r="D3" s="10"/>
    </row>
    <row r="4" spans="1:7" ht="15" thickBot="1" x14ac:dyDescent="0.35">
      <c r="A4" s="1208" t="str">
        <f>template_label_unit_of_measurement_of_mass_converter</f>
        <v>Unité de mesure du convertisseur de masse</v>
      </c>
      <c r="B4" s="1209"/>
      <c r="C4" s="1209"/>
      <c r="D4" s="1209"/>
      <c r="E4" s="44"/>
      <c r="G4" s="343" t="str">
        <f>template_label_usage_of_unit_of_measurement_converter</f>
        <v>Utilisation du convertisseur d'unités de mesure</v>
      </c>
    </row>
    <row r="5" spans="1:7" x14ac:dyDescent="0.3">
      <c r="A5" s="1211" t="str">
        <f>template_label_from_capital_case</f>
        <v>De</v>
      </c>
      <c r="B5" s="519"/>
      <c r="C5" s="1213" t="str">
        <f>template_label_to</f>
        <v>au</v>
      </c>
      <c r="D5" s="520"/>
      <c r="G5" s="320" t="str">
        <f>template_label_steps_to_follow_for_the_mass_table</f>
        <v>Étapes à suivre pour le tableau des masses :</v>
      </c>
    </row>
    <row r="6" spans="1:7" ht="15" thickBot="1" x14ac:dyDescent="0.35">
      <c r="A6" s="1212"/>
      <c r="B6" s="521"/>
      <c r="C6" s="1214"/>
      <c r="D6" s="526" t="str">
        <f>IF(OR(B5="",B6="",D5=""),"-",
IF(AND(B5="g - gram",D5="g - gram"),B6*1,
IF(AND(B5="g - gram",D5="Kg - Kilogram"),B6*0.001,
IF(AND(B5="g - gram",D5="t - tonne"),B6*0.000001,
IF(AND(B5="g - gram",D5="Gg - Gigagram"),B6*0.000000001,
IF(AND(B5="Kg - Kilogram",D5="g - gram"),B6*1000,
IF(AND(B5="Kg - Kilogram",D5="Kg - Kilogram"),B6*1,
IF(AND(B5="Kg - Kilogram",D5="t - tonne"),B6*0.001,
IF(AND(B5="Kg - Kilogram",D5="Gg - Gigagram"),B6*0.000001,
IF(AND(B5="t - tonne",D5="g - gram"),B6*1000000,
IF(AND(B5="t - tonne",D5="Kg - Kilogram"),B6*1000,
IF(AND(B5="t - tonne",D5="t - tonne"),B6*1,
IF(AND(B5="t - tonne",D5="Gg - Gigagram"),B6*0.001,
IF(AND(B5="Gg - Gigagram",D5="g - gram"),B6*1000000000,
IF(AND(B5="Gg - Gigagram",D5="Kg - Kilogram"),B6*1000000,
IF(AND(B5="Gg - Gigagram",D5="t - tonne"),B6*1000,
IF(AND(B5="Gg - Gigagram",D5="Gg - Gigagram"),B6*1,
"")))))))))))))))))</f>
        <v>-</v>
      </c>
      <c r="G6" s="342" t="str">
        <f>template_label_1_in_the_cell_b5_of_the_table_related_to_the_unit_of_measurement_of_mass_converter</f>
        <v xml:space="preserve">1. Dans la cellule B5 du tableau relatif au convertisseur d’unité de mesure de la masse, l'unité de mesure à convertir doit être insérée. 
</v>
      </c>
    </row>
    <row r="7" spans="1:7" s="10" customFormat="1" ht="15" thickBot="1" x14ac:dyDescent="0.35">
      <c r="G7" s="342" t="str">
        <f>template_label_2_then_in_the_cell_b6_the_amount_of_mass_can_be_inserted</f>
        <v>2. Puis, dans la cellule B6, la quantité de masse peut être insérée.</v>
      </c>
    </row>
    <row r="8" spans="1:7" s="10" customFormat="1" ht="15" thickBot="1" x14ac:dyDescent="0.35">
      <c r="A8" s="1208" t="str">
        <f>template_label_unit_of_measurement_of_volume_converter</f>
        <v>Unité de mesure du convertisseur de volume</v>
      </c>
      <c r="B8" s="1209"/>
      <c r="C8" s="1209"/>
      <c r="D8" s="1210"/>
      <c r="G8" s="342" t="str">
        <f>template_label_3_finally_in_the_cell_d5_there_should_be_the_unit_of_measurement_of_interest</f>
        <v>3. Enfin, dans la cellule D5, l’unité de mesure souhaitée doit être indiquée.</v>
      </c>
    </row>
    <row r="9" spans="1:7" s="10" customFormat="1" x14ac:dyDescent="0.3">
      <c r="A9" s="1211" t="str">
        <f>template_label_from_capital_case</f>
        <v>De</v>
      </c>
      <c r="B9" s="519"/>
      <c r="C9" s="1213" t="str">
        <f>template_label_to</f>
        <v>au</v>
      </c>
      <c r="D9" s="520"/>
      <c r="G9" s="342" t="str">
        <f>template_label_4_the_outcome_of_the_conversion_will_be_displayed_in_the_cell_d6</f>
        <v>4. Le résultat de la conversion sera affiché dans la cellule D6.</v>
      </c>
    </row>
    <row r="10" spans="1:7" s="10" customFormat="1" ht="15" thickBot="1" x14ac:dyDescent="0.35">
      <c r="A10" s="1212"/>
      <c r="B10" s="521"/>
      <c r="C10" s="1214"/>
      <c r="D10" s="525" t="str">
        <f>IF(OR(B9="",B10="",D9=""),"-", IF(AND(B9="m³ - cubic meters",D9="L - Liter"),B10*1000,
IF(AND(B9="m³ - cubic meters",D9="m³ - cubic meters"),B10*1,
IF(AND(B9="L - Liter",D9="m³ - cubic meters"),B10*0.001,
IF(AND(B9="L - Liter",D9="L - Liter"),B10*1,
"")))))</f>
        <v>-</v>
      </c>
      <c r="G10" s="10" t="str">
        <f>template_label_the_steps_to_follow_for_the_other_tables</f>
        <v>Les étapes à suivre pour les autres tableaux (volume, consommation d’énergie, densité et PCN) sont les mêmes que pour le tableau des masses.</v>
      </c>
    </row>
    <row r="11" spans="1:7" s="10" customFormat="1" ht="15" thickBot="1" x14ac:dyDescent="0.35">
      <c r="B11" s="524"/>
      <c r="D11" s="524"/>
      <c r="G11" t="str">
        <f>template_label_mass_to_volume_instruction</f>
        <v>Des étapes similaires, avec la spécification de la dénitie, peuvent être appliquées à la dernière table pour la conversion de Mass en Volumer (ou inversement).</v>
      </c>
    </row>
    <row r="12" spans="1:7" s="10" customFormat="1" ht="15" customHeight="1" thickBot="1" x14ac:dyDescent="0.35">
      <c r="A12" s="1208" t="str">
        <f>template_label_unit_of_measurement_of_energy_consumption_per_hour</f>
        <v>Unité de mesure de la consommation d’énergie par heure</v>
      </c>
      <c r="B12" s="1209"/>
      <c r="C12" s="1209"/>
      <c r="D12" s="1210"/>
      <c r="G12" s="10" t="str">
        <f>template_label_below_are_specified_all_the_units_of_measurement_conversions_of_each_table</f>
        <v>Ci‑dessous sont indiquées toutes les conversions d’unités de mesure pour chaque tableau.</v>
      </c>
    </row>
    <row r="13" spans="1:7" s="10" customFormat="1" x14ac:dyDescent="0.3">
      <c r="A13" s="1211" t="str">
        <f>template_label_from_capital_case</f>
        <v>De</v>
      </c>
      <c r="B13" s="519"/>
      <c r="C13" s="1213" t="str">
        <f>template_label_to</f>
        <v>au</v>
      </c>
      <c r="D13" s="520"/>
      <c r="G13" s="320" t="str">
        <f>template_label_unit_of_measurement_of_mass_converter_list</f>
        <v>▪ Unité de mesure du convertisseur de masse :</v>
      </c>
    </row>
    <row r="14" spans="1:7" s="10" customFormat="1" ht="15" thickBot="1" x14ac:dyDescent="0.35">
      <c r="A14" s="1212"/>
      <c r="B14" s="521"/>
      <c r="C14" s="1214"/>
      <c r="D14" s="526" t="str">
        <f>IF(OR(B13="",B14="",D13=""),"-",
IF(AND(B13="MWh - Megawatt hours",D13="MWh - Megawatt hours"),B14*1,
IF(AND(B13="TJ - Terajoule",D13="TJ - Terajoule"),B14*1,
IF(AND(B13="TJ - Terajoule",D13="MWh - Megawatt hours"),B14*277.778,
IF(AND(B13="MWh - Megawatt hours",D13="MWh - Megawatt hours"),B14/277.778,
"")))))</f>
        <v>-</v>
      </c>
      <c r="G14" s="342" t="s">
        <v>278</v>
      </c>
    </row>
    <row r="15" spans="1:7" s="10" customFormat="1" ht="15" thickBot="1" x14ac:dyDescent="0.35">
      <c r="G15" s="342" t="s">
        <v>279</v>
      </c>
    </row>
    <row r="16" spans="1:7" s="10" customFormat="1" ht="15" thickBot="1" x14ac:dyDescent="0.35">
      <c r="A16" s="1208" t="str">
        <f>template_label_unit_of_measurement_of_density_converter</f>
        <v>Unité de mesure du convertisseur de densité</v>
      </c>
      <c r="B16" s="1209"/>
      <c r="C16" s="1209"/>
      <c r="D16" s="1210"/>
      <c r="G16" s="342" t="s">
        <v>280</v>
      </c>
    </row>
    <row r="17" spans="1:7" s="10" customFormat="1" x14ac:dyDescent="0.3">
      <c r="A17" s="1211" t="str">
        <f>template_label_from_capital_case</f>
        <v>De</v>
      </c>
      <c r="B17" s="519"/>
      <c r="C17" s="1213" t="str">
        <f>template_label_to</f>
        <v>au</v>
      </c>
      <c r="D17" s="520"/>
      <c r="G17" s="342" t="s">
        <v>281</v>
      </c>
    </row>
    <row r="18" spans="1:7" s="10" customFormat="1" ht="15" thickBot="1" x14ac:dyDescent="0.35">
      <c r="A18" s="1212"/>
      <c r="B18" s="521"/>
      <c r="C18" s="1214"/>
      <c r="D18" s="526" t="str">
        <f>IF(OR(B17="",B18="",D17=""), "-", B18 * INDEX('Fuel Conversion Parameters'!L2:S9, MATCH(B17, 'Fuel Conversion Parameters'!K2:K9, 0), MATCH(D17, 'Fuel Conversion Parameters'!L1:S1, 0)))</f>
        <v>-</v>
      </c>
      <c r="G18" s="320" t="str">
        <f>template_label_unit_of_measurement_of_volume_converter_list</f>
        <v>▪ Unité de mesure du convertisseur de volume :</v>
      </c>
    </row>
    <row r="19" spans="1:7" s="10" customFormat="1" ht="15" thickBot="1" x14ac:dyDescent="0.35">
      <c r="G19" s="342" t="s">
        <v>282</v>
      </c>
    </row>
    <row r="20" spans="1:7" s="10" customFormat="1" ht="15" customHeight="1" thickBot="1" x14ac:dyDescent="0.35">
      <c r="A20" s="1208" t="str">
        <f>template_label_unit_of_measurement_of_ncv_converter</f>
        <v>Unité de mesure du convertisseur PCN</v>
      </c>
      <c r="B20" s="1209"/>
      <c r="C20" s="1209"/>
      <c r="D20" s="1210"/>
      <c r="G20" s="342" t="s">
        <v>283</v>
      </c>
    </row>
    <row r="21" spans="1:7" s="10" customFormat="1" x14ac:dyDescent="0.3">
      <c r="A21" s="1211" t="str">
        <f>template_label_from_capital_case</f>
        <v>De</v>
      </c>
      <c r="B21" s="519"/>
      <c r="C21" s="1213" t="str">
        <f>template_label_to</f>
        <v>au</v>
      </c>
      <c r="D21" s="520"/>
      <c r="G21" s="320" t="str">
        <f>template_label_unit_of_measurement_of_energy_converter_list</f>
        <v>▪ Unité de mesure du convertisseur d'énergie :</v>
      </c>
    </row>
    <row r="22" spans="1:7" s="10" customFormat="1" ht="15" thickBot="1" x14ac:dyDescent="0.35">
      <c r="A22" s="1212"/>
      <c r="B22" s="521"/>
      <c r="C22" s="1214"/>
      <c r="D22" s="522" t="str">
        <f>IF(OR(B21="",B22="",D21=""), "-", B22 * INDEX('Fuel Conversion Parameters'!V2:AK13, MATCH(B21, 'Fuel Conversion Parameters'!U2:U13, 0), MATCH(D21, 'Fuel Conversion Parameters'!V1:AK1, 0)))</f>
        <v>-</v>
      </c>
      <c r="G22" s="342" t="s">
        <v>284</v>
      </c>
    </row>
    <row r="23" spans="1:7" s="10" customFormat="1" ht="15" thickBot="1" x14ac:dyDescent="0.35">
      <c r="G23" s="342" t="s">
        <v>285</v>
      </c>
    </row>
    <row r="24" spans="1:7" s="10" customFormat="1" ht="15" customHeight="1" thickBot="1" x14ac:dyDescent="0.35">
      <c r="A24" s="1225" t="str">
        <f>template_label_mass_to_volume</f>
        <v>Convertisseur masse-volume (ou inversement)</v>
      </c>
      <c r="B24" s="1209"/>
      <c r="C24" s="1226"/>
      <c r="D24" s="1227"/>
      <c r="G24" s="320" t="str">
        <f>template_label_unit_of_measurement_of_density_converter_list</f>
        <v>▪ Unité de mesure du convertisseur de densité :</v>
      </c>
    </row>
    <row r="25" spans="1:7" s="10" customFormat="1" x14ac:dyDescent="0.3">
      <c r="A25" s="1219" t="str">
        <f>template_label_density_kg_over_l</f>
        <v>Densité (kg/L)</v>
      </c>
      <c r="B25" s="1220"/>
      <c r="C25" s="1220"/>
      <c r="D25" s="1221"/>
      <c r="G25" s="342" t="s">
        <v>105</v>
      </c>
    </row>
    <row r="26" spans="1:7" s="10" customFormat="1" ht="15" thickBot="1" x14ac:dyDescent="0.35">
      <c r="A26" s="1222"/>
      <c r="B26" s="1223"/>
      <c r="C26" s="1223"/>
      <c r="D26" s="1224"/>
      <c r="G26" s="342" t="s">
        <v>107</v>
      </c>
    </row>
    <row r="27" spans="1:7" s="10" customFormat="1" x14ac:dyDescent="0.3">
      <c r="A27" s="1215" t="str">
        <f>template_label_from_capital_case</f>
        <v>De</v>
      </c>
      <c r="B27" s="527" t="str" cm="1">
        <f t="array" ref="B27">_xlfn.IFS(B28="Kg",template_label_mass,B28="L",template_label_volume,B28="",template_label_mass_volume)</f>
        <v>Masse / Volume</v>
      </c>
      <c r="C27" s="1217" t="str">
        <f>template_label_to</f>
        <v>au</v>
      </c>
      <c r="D27" s="528" t="str" cm="1">
        <f t="array" ref="D27">_xlfn.IFS(B28="L",template_label_mass,B28="Kg",template_label_volume,B28="","")</f>
        <v/>
      </c>
      <c r="G27" s="342" t="s">
        <v>109</v>
      </c>
    </row>
    <row r="28" spans="1:7" s="10" customFormat="1" x14ac:dyDescent="0.3">
      <c r="A28" s="1216"/>
      <c r="B28" s="518"/>
      <c r="C28" s="1218"/>
      <c r="D28" s="523" t="str" cm="1">
        <f t="array" ref="D28">_xlfn.IFS(B28="L","Kg",B28="Kg","L",B28="","")</f>
        <v/>
      </c>
      <c r="G28" s="342" t="s">
        <v>110</v>
      </c>
    </row>
    <row r="29" spans="1:7" s="10" customFormat="1" ht="15" thickBot="1" x14ac:dyDescent="0.35">
      <c r="A29" s="1212"/>
      <c r="B29" s="521"/>
      <c r="C29" s="1214"/>
      <c r="D29" s="522" t="str" cm="1">
        <f t="array" ref="D29">IFERROR(_xlfn.IFS(
  OR(A26="",B29=""),"",
  B28="Kg",B29/A26,
  B28="L",B29*A26,
  B28="",""
),"")</f>
        <v/>
      </c>
      <c r="G29" s="342" t="s">
        <v>111</v>
      </c>
    </row>
    <row r="30" spans="1:7" s="10" customFormat="1" x14ac:dyDescent="0.3">
      <c r="G30" s="342" t="s">
        <v>112</v>
      </c>
    </row>
    <row r="31" spans="1:7" s="10" customFormat="1" x14ac:dyDescent="0.3">
      <c r="G31" s="320" t="str">
        <f>template_label_unit_of_measurement_of_ncv_converter_list</f>
        <v>▪ Unité de mesure du convertisseur PCN :</v>
      </c>
    </row>
    <row r="32" spans="1:7" s="10" customFormat="1" x14ac:dyDescent="0.3">
      <c r="G32" s="342" t="s">
        <v>113</v>
      </c>
    </row>
    <row r="33" spans="7:7" s="10" customFormat="1" x14ac:dyDescent="0.3">
      <c r="G33" s="342" t="s">
        <v>114</v>
      </c>
    </row>
    <row r="34" spans="7:7" s="10" customFormat="1" x14ac:dyDescent="0.3">
      <c r="G34" s="342" t="s">
        <v>115</v>
      </c>
    </row>
    <row r="35" spans="7:7" s="10" customFormat="1" x14ac:dyDescent="0.3">
      <c r="G35" s="342" t="s">
        <v>116</v>
      </c>
    </row>
    <row r="36" spans="7:7" s="10" customFormat="1" x14ac:dyDescent="0.3">
      <c r="G36" s="342" t="s">
        <v>117</v>
      </c>
    </row>
    <row r="37" spans="7:7" s="10" customFormat="1" x14ac:dyDescent="0.3">
      <c r="G37" s="342" t="s">
        <v>118</v>
      </c>
    </row>
    <row r="38" spans="7:7" s="10" customFormat="1" x14ac:dyDescent="0.3">
      <c r="G38" s="342" t="s">
        <v>119</v>
      </c>
    </row>
    <row r="39" spans="7:7" s="10" customFormat="1" x14ac:dyDescent="0.3">
      <c r="G39" s="342" t="s">
        <v>120</v>
      </c>
    </row>
    <row r="40" spans="7:7" s="10" customFormat="1" x14ac:dyDescent="0.3">
      <c r="G40" s="342" t="s">
        <v>121</v>
      </c>
    </row>
    <row r="41" spans="7:7" s="10" customFormat="1" x14ac:dyDescent="0.3">
      <c r="G41" s="342" t="s">
        <v>122</v>
      </c>
    </row>
    <row r="42" spans="7:7" s="10" customFormat="1" x14ac:dyDescent="0.3">
      <c r="G42" s="342" t="s">
        <v>123</v>
      </c>
    </row>
    <row r="43" spans="7:7" s="10" customFormat="1" x14ac:dyDescent="0.3">
      <c r="G43" s="342" t="s">
        <v>124</v>
      </c>
    </row>
    <row r="44" spans="7:7" s="10" customFormat="1" x14ac:dyDescent="0.3">
      <c r="G44" s="342" t="s">
        <v>125</v>
      </c>
    </row>
    <row r="45" spans="7:7" s="10" customFormat="1" x14ac:dyDescent="0.3">
      <c r="G45" s="342" t="s">
        <v>126</v>
      </c>
    </row>
    <row r="46" spans="7:7" s="10" customFormat="1" x14ac:dyDescent="0.3">
      <c r="G46" s="342" t="s">
        <v>127</v>
      </c>
    </row>
    <row r="47" spans="7:7" s="10" customFormat="1" x14ac:dyDescent="0.3">
      <c r="G47" s="342" t="s">
        <v>128</v>
      </c>
    </row>
    <row r="48" spans="7:7" s="10" customFormat="1" x14ac:dyDescent="0.3">
      <c r="G48" s="341"/>
    </row>
    <row r="49" spans="7:7" s="10" customFormat="1" x14ac:dyDescent="0.3"/>
    <row r="50" spans="7:7" s="10" customFormat="1" x14ac:dyDescent="0.3">
      <c r="G50" s="341"/>
    </row>
    <row r="51" spans="7:7" s="10" customFormat="1" x14ac:dyDescent="0.3"/>
    <row r="52" spans="7:7" s="10" customFormat="1" x14ac:dyDescent="0.3">
      <c r="G52" s="341"/>
    </row>
    <row r="53" spans="7:7" s="10" customFormat="1" x14ac:dyDescent="0.3"/>
    <row r="54" spans="7:7" s="10" customFormat="1" x14ac:dyDescent="0.3">
      <c r="G54" s="341"/>
    </row>
    <row r="55" spans="7:7" s="10" customFormat="1" x14ac:dyDescent="0.3"/>
    <row r="56" spans="7:7" s="10" customFormat="1" x14ac:dyDescent="0.3">
      <c r="G56" s="341"/>
    </row>
    <row r="57" spans="7:7" s="10" customFormat="1" x14ac:dyDescent="0.3"/>
    <row r="58" spans="7:7" s="10" customFormat="1" x14ac:dyDescent="0.3">
      <c r="G58" s="341"/>
    </row>
    <row r="59" spans="7:7" s="10" customFormat="1" x14ac:dyDescent="0.3"/>
    <row r="60" spans="7:7" s="10" customFormat="1" x14ac:dyDescent="0.3">
      <c r="G60" s="341"/>
    </row>
    <row r="61" spans="7:7" s="10" customFormat="1" x14ac:dyDescent="0.3"/>
    <row r="62" spans="7:7" s="10" customFormat="1" x14ac:dyDescent="0.3">
      <c r="G62" s="341"/>
    </row>
    <row r="63" spans="7:7" s="10" customFormat="1" x14ac:dyDescent="0.3"/>
    <row r="64" spans="7:7" s="10" customFormat="1" x14ac:dyDescent="0.3">
      <c r="G64" s="341"/>
    </row>
    <row r="65" spans="7:7" s="10" customFormat="1" x14ac:dyDescent="0.3"/>
    <row r="66" spans="7:7" s="10" customFormat="1" x14ac:dyDescent="0.3">
      <c r="G66" s="341"/>
    </row>
    <row r="67" spans="7:7" s="10" customFormat="1" x14ac:dyDescent="0.3"/>
    <row r="68" spans="7:7" s="10" customFormat="1" x14ac:dyDescent="0.3"/>
    <row r="69" spans="7:7" s="10" customFormat="1" x14ac:dyDescent="0.3"/>
    <row r="70" spans="7:7" s="10" customFormat="1" x14ac:dyDescent="0.3"/>
    <row r="71" spans="7:7" s="10" customFormat="1" x14ac:dyDescent="0.3"/>
    <row r="72" spans="7:7" s="10" customFormat="1" x14ac:dyDescent="0.3"/>
    <row r="73" spans="7:7" s="10" customFormat="1" x14ac:dyDescent="0.3"/>
    <row r="74" spans="7:7" s="10" customFormat="1" x14ac:dyDescent="0.3"/>
    <row r="75" spans="7:7" s="10" customFormat="1" x14ac:dyDescent="0.3"/>
    <row r="76" spans="7:7" s="10" customFormat="1" x14ac:dyDescent="0.3"/>
    <row r="77" spans="7:7" s="10" customFormat="1" x14ac:dyDescent="0.3"/>
    <row r="78" spans="7:7" s="10" customFormat="1" x14ac:dyDescent="0.3"/>
    <row r="79" spans="7:7" s="10" customFormat="1" x14ac:dyDescent="0.3"/>
    <row r="80" spans="7:7" s="10" customFormat="1" x14ac:dyDescent="0.3"/>
    <row r="81" s="10" customFormat="1" x14ac:dyDescent="0.3"/>
    <row r="82" s="10" customFormat="1" x14ac:dyDescent="0.3"/>
    <row r="83" s="10" customFormat="1" x14ac:dyDescent="0.3"/>
    <row r="84" s="10" customFormat="1" x14ac:dyDescent="0.3"/>
    <row r="85" s="10" customFormat="1" x14ac:dyDescent="0.3"/>
    <row r="86" s="10" customFormat="1" x14ac:dyDescent="0.3"/>
    <row r="87" s="10" customFormat="1" x14ac:dyDescent="0.3"/>
    <row r="88" s="10" customFormat="1" x14ac:dyDescent="0.3"/>
    <row r="89" s="10" customFormat="1" x14ac:dyDescent="0.3"/>
    <row r="90" s="10" customFormat="1" x14ac:dyDescent="0.3"/>
    <row r="91" s="10" customFormat="1" x14ac:dyDescent="0.3"/>
    <row r="92" s="10" customFormat="1" x14ac:dyDescent="0.3"/>
    <row r="93" s="10" customFormat="1" x14ac:dyDescent="0.3"/>
    <row r="94" s="10" customFormat="1" x14ac:dyDescent="0.3"/>
    <row r="95" s="10" customFormat="1" x14ac:dyDescent="0.3"/>
    <row r="96" s="10" customFormat="1" x14ac:dyDescent="0.3"/>
    <row r="97" s="10" customFormat="1" x14ac:dyDescent="0.3"/>
    <row r="98" s="10" customFormat="1" x14ac:dyDescent="0.3"/>
    <row r="99" s="10" customFormat="1" x14ac:dyDescent="0.3"/>
    <row r="100" s="10" customFormat="1" x14ac:dyDescent="0.3"/>
    <row r="101" s="10" customFormat="1" x14ac:dyDescent="0.3"/>
    <row r="102" s="10" customFormat="1" x14ac:dyDescent="0.3"/>
    <row r="103" s="10" customFormat="1" x14ac:dyDescent="0.3"/>
    <row r="104" s="10" customFormat="1" x14ac:dyDescent="0.3"/>
    <row r="105" s="10" customFormat="1" x14ac:dyDescent="0.3"/>
    <row r="106" s="10" customFormat="1" x14ac:dyDescent="0.3"/>
    <row r="107" s="10" customFormat="1" x14ac:dyDescent="0.3"/>
    <row r="108" s="10" customFormat="1" x14ac:dyDescent="0.3"/>
    <row r="109" s="10" customFormat="1" x14ac:dyDescent="0.3"/>
    <row r="110" s="10" customFormat="1" x14ac:dyDescent="0.3"/>
    <row r="111" s="10" customFormat="1" x14ac:dyDescent="0.3"/>
    <row r="112" s="10" customFormat="1" x14ac:dyDescent="0.3"/>
    <row r="113" s="10" customFormat="1" x14ac:dyDescent="0.3"/>
    <row r="114" s="10" customFormat="1" x14ac:dyDescent="0.3"/>
    <row r="115" s="10" customFormat="1" x14ac:dyDescent="0.3"/>
    <row r="116" s="10" customFormat="1" x14ac:dyDescent="0.3"/>
    <row r="117" s="10" customFormat="1" x14ac:dyDescent="0.3"/>
    <row r="118" s="10" customFormat="1" x14ac:dyDescent="0.3"/>
    <row r="119" s="10" customFormat="1" x14ac:dyDescent="0.3"/>
    <row r="120" s="10" customFormat="1" x14ac:dyDescent="0.3"/>
    <row r="121" s="10" customFormat="1" x14ac:dyDescent="0.3"/>
    <row r="122" s="10" customFormat="1" x14ac:dyDescent="0.3"/>
    <row r="123" s="10" customFormat="1" x14ac:dyDescent="0.3"/>
    <row r="124" s="10" customFormat="1" x14ac:dyDescent="0.3"/>
    <row r="125" s="10" customFormat="1" x14ac:dyDescent="0.3"/>
    <row r="126" s="10" customFormat="1" x14ac:dyDescent="0.3"/>
    <row r="127" s="10" customFormat="1" x14ac:dyDescent="0.3"/>
    <row r="128" s="10" customFormat="1" x14ac:dyDescent="0.3"/>
    <row r="129" spans="2:4" s="10" customFormat="1" x14ac:dyDescent="0.3"/>
    <row r="130" spans="2:4" s="10" customFormat="1" x14ac:dyDescent="0.3"/>
    <row r="131" spans="2:4" s="10" customFormat="1" x14ac:dyDescent="0.3"/>
    <row r="132" spans="2:4" s="10" customFormat="1" x14ac:dyDescent="0.3"/>
    <row r="133" spans="2:4" s="10" customFormat="1" x14ac:dyDescent="0.3"/>
    <row r="134" spans="2:4" s="10" customFormat="1" x14ac:dyDescent="0.3"/>
    <row r="135" spans="2:4" s="10" customFormat="1" x14ac:dyDescent="0.3"/>
    <row r="136" spans="2:4" s="10" customFormat="1" x14ac:dyDescent="0.3">
      <c r="B136"/>
      <c r="D136"/>
    </row>
  </sheetData>
  <sheetProtection algorithmName="SHA-512" hashValue="tQKu/U3TW7VJAlBrbEGj+oIDwTR6tip529AY0g7oeTuY3PAqBhFj0NPGv5DArd575QjYMPuU6utz3JLeGLCYRg==" saltValue="r07cz/VWTWVoNlN0zjpvJg==" spinCount="100000" sheet="1" formatColumns="0" formatRows="0"/>
  <mergeCells count="21">
    <mergeCell ref="A21:A22"/>
    <mergeCell ref="C21:C22"/>
    <mergeCell ref="A27:A29"/>
    <mergeCell ref="C27:C29"/>
    <mergeCell ref="A5:A6"/>
    <mergeCell ref="C5:C6"/>
    <mergeCell ref="C9:C10"/>
    <mergeCell ref="A9:A10"/>
    <mergeCell ref="A13:A14"/>
    <mergeCell ref="C13:C14"/>
    <mergeCell ref="C17:C18"/>
    <mergeCell ref="A17:A18"/>
    <mergeCell ref="A25:D25"/>
    <mergeCell ref="A26:D26"/>
    <mergeCell ref="A24:D24"/>
    <mergeCell ref="A20:D20"/>
    <mergeCell ref="A1:C1"/>
    <mergeCell ref="A4:D4"/>
    <mergeCell ref="A8:D8"/>
    <mergeCell ref="A12:D12"/>
    <mergeCell ref="A16:D16"/>
  </mergeCells>
  <dataValidations count="8">
    <dataValidation type="list" operator="equal" allowBlank="1" showInputMessage="1" showErrorMessage="1" sqref="B13" xr:uid="{A9CD0C44-25C5-48B8-B7EE-63189813787D}">
      <formula1>enum_ListEnergy</formula1>
    </dataValidation>
    <dataValidation type="list" allowBlank="1" showInputMessage="1" showErrorMessage="1" sqref="B13 D13" xr:uid="{CDCA923B-F41E-402B-8B88-08D1452141EE}">
      <formula1>enum_ListEnergy</formula1>
    </dataValidation>
    <dataValidation type="list" allowBlank="1" showInputMessage="1" showErrorMessage="1" sqref="B21 D21" xr:uid="{D98D3F66-2EF1-4C62-9847-69576CCD1DFA}">
      <formula1>enum_ListNCV</formula1>
    </dataValidation>
    <dataValidation type="list" allowBlank="1" showInputMessage="1" showErrorMessage="1" sqref="B17 D17" xr:uid="{9C88730F-A2BD-4A7C-B477-57EC1635848C}">
      <formula1>enum_ListDensity</formula1>
    </dataValidation>
    <dataValidation type="decimal" operator="equal" allowBlank="1" showInputMessage="1" showErrorMessage="1" sqref="B6 B18 B22 B10:B12 B14 B29 A26" xr:uid="{3759D409-B1C7-4A30-BB86-3C7C72B2286F}">
      <formula1>A6</formula1>
    </dataValidation>
    <dataValidation type="list" allowBlank="1" showInputMessage="1" showErrorMessage="1" sqref="B5 D5" xr:uid="{A01119ED-108C-4BE8-A627-CC54046F0F25}">
      <formula1>enum_ListMass</formula1>
    </dataValidation>
    <dataValidation type="list" allowBlank="1" showInputMessage="1" showErrorMessage="1" sqref="D9 B9" xr:uid="{BAAEF948-B8C7-44A0-9A7F-849F797DA8B2}">
      <formula1>enum_ListVolume</formula1>
    </dataValidation>
    <dataValidation type="list" allowBlank="1" showInputMessage="1" showErrorMessage="1" sqref="B28" xr:uid="{9E418218-DEF5-43D0-80B9-B7301CAC198E}">
      <formula1>enum_list_mass_volume</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7FC05-FF15-4F3B-A168-94BA93CE0D77}">
  <sheetPr codeName="Sheet9"/>
  <dimension ref="A1:AE1049"/>
  <sheetViews>
    <sheetView zoomScaleNormal="100" workbookViewId="0"/>
  </sheetViews>
  <sheetFormatPr baseColWidth="10" defaultColWidth="8.88671875" defaultRowHeight="14.4" x14ac:dyDescent="0.3"/>
  <cols>
    <col min="1" max="1" width="150.44140625" bestFit="1" customWidth="1"/>
    <col min="2" max="2" width="150.44140625" hidden="1" customWidth="1"/>
    <col min="3" max="3" width="49.5546875" bestFit="1" customWidth="1"/>
    <col min="4" max="4" width="21.44140625" bestFit="1" customWidth="1"/>
    <col min="5" max="5" width="21.44140625" customWidth="1"/>
    <col min="6" max="6" width="92" bestFit="1" customWidth="1"/>
    <col min="7" max="7" width="49.44140625" bestFit="1" customWidth="1"/>
    <col min="8" max="8" width="44.44140625" customWidth="1"/>
    <col min="9" max="9" width="99.6640625" customWidth="1"/>
    <col min="10" max="10" width="48.44140625" bestFit="1" customWidth="1"/>
    <col min="11" max="11" width="20.44140625" bestFit="1" customWidth="1"/>
    <col min="12" max="12" width="18" bestFit="1" customWidth="1"/>
    <col min="13" max="13" width="30.5546875" bestFit="1" customWidth="1"/>
    <col min="14" max="14" width="26.5546875" bestFit="1" customWidth="1"/>
    <col min="15" max="15" width="10.5546875" customWidth="1"/>
    <col min="16" max="16" width="13.44140625" bestFit="1" customWidth="1"/>
    <col min="18" max="18" width="9.6640625" bestFit="1" customWidth="1"/>
    <col min="19" max="19" width="46.6640625" bestFit="1" customWidth="1"/>
    <col min="20" max="20" width="100.33203125" bestFit="1" customWidth="1"/>
    <col min="21" max="21" width="12.6640625" bestFit="1" customWidth="1"/>
    <col min="23" max="23" width="31.44140625" customWidth="1"/>
    <col min="24" max="24" width="255.44140625" bestFit="1" customWidth="1"/>
    <col min="25" max="25" width="17.44140625" customWidth="1"/>
    <col min="26" max="26" width="28.6640625" customWidth="1"/>
    <col min="27" max="27" width="23.33203125" customWidth="1"/>
    <col min="28" max="28" width="17.6640625" customWidth="1"/>
    <col min="29" max="29" width="43.44140625" bestFit="1" customWidth="1"/>
  </cols>
  <sheetData>
    <row r="1" spans="1:31" ht="72" x14ac:dyDescent="0.3">
      <c r="A1" s="271" t="s">
        <v>286</v>
      </c>
      <c r="B1" s="424" t="s">
        <v>287</v>
      </c>
      <c r="C1" s="6" t="s">
        <v>288</v>
      </c>
      <c r="D1" s="6" t="s">
        <v>289</v>
      </c>
      <c r="E1" s="6" t="s">
        <v>290</v>
      </c>
      <c r="F1" s="6" t="s">
        <v>291</v>
      </c>
      <c r="G1" s="249" t="s">
        <v>292</v>
      </c>
      <c r="H1" s="249" t="s">
        <v>293</v>
      </c>
      <c r="I1" s="249" t="s">
        <v>294</v>
      </c>
      <c r="J1" s="6" t="s">
        <v>295</v>
      </c>
      <c r="K1" s="6" t="s">
        <v>93</v>
      </c>
      <c r="L1" s="6" t="s">
        <v>296</v>
      </c>
      <c r="M1" s="6" t="s">
        <v>297</v>
      </c>
      <c r="N1" s="6" t="s">
        <v>298</v>
      </c>
      <c r="O1" s="249" t="s">
        <v>299</v>
      </c>
      <c r="P1" s="6" t="s">
        <v>300</v>
      </c>
      <c r="Q1" s="6" t="s">
        <v>301</v>
      </c>
      <c r="R1" s="6" t="s">
        <v>302</v>
      </c>
      <c r="S1" s="6" t="s">
        <v>303</v>
      </c>
      <c r="T1" s="6" t="s">
        <v>304</v>
      </c>
      <c r="U1" s="6" t="s">
        <v>305</v>
      </c>
      <c r="V1" s="6" t="s">
        <v>302</v>
      </c>
      <c r="W1" s="272" t="s">
        <v>306</v>
      </c>
      <c r="X1" s="273" t="s">
        <v>307</v>
      </c>
      <c r="Y1" s="272" t="s">
        <v>308</v>
      </c>
      <c r="Z1" s="274" t="s">
        <v>309</v>
      </c>
      <c r="AA1" s="11" t="s">
        <v>310</v>
      </c>
      <c r="AB1" s="11" t="s">
        <v>311</v>
      </c>
      <c r="AC1" s="11" t="s">
        <v>312</v>
      </c>
      <c r="AD1" s="11" t="s">
        <v>313</v>
      </c>
      <c r="AE1" s="11" t="s">
        <v>314</v>
      </c>
    </row>
    <row r="2" spans="1:31" x14ac:dyDescent="0.3">
      <c r="A2" t="s">
        <v>315</v>
      </c>
      <c r="B2" s="275" t="s">
        <v>316</v>
      </c>
      <c r="C2" s="276" t="s">
        <v>317</v>
      </c>
      <c r="D2" t="s">
        <v>318</v>
      </c>
      <c r="E2" t="str">
        <f>RIGHT(D2,2)</f>
        <v>AD</v>
      </c>
      <c r="F2" t="s">
        <v>319</v>
      </c>
      <c r="G2" t="s">
        <v>320</v>
      </c>
      <c r="H2" t="s">
        <v>321</v>
      </c>
      <c r="I2" t="s">
        <v>322</v>
      </c>
      <c r="J2" t="s">
        <v>323</v>
      </c>
      <c r="K2" t="s">
        <v>324</v>
      </c>
      <c r="L2" t="s">
        <v>325</v>
      </c>
      <c r="M2" t="s">
        <v>326</v>
      </c>
      <c r="N2" t="s">
        <v>327</v>
      </c>
      <c r="O2" t="s">
        <v>328</v>
      </c>
      <c r="P2" t="s">
        <v>329</v>
      </c>
      <c r="Q2">
        <v>2000</v>
      </c>
      <c r="R2">
        <v>1</v>
      </c>
      <c r="S2" t="s">
        <v>330</v>
      </c>
      <c r="T2" t="str">
        <f>template_label_b1_basis_for_preparation_validation</f>
        <v>B1 – Base de préparation</v>
      </c>
      <c r="U2" s="277">
        <v>1</v>
      </c>
      <c r="V2" t="s">
        <v>331</v>
      </c>
      <c r="W2" t="s">
        <v>324</v>
      </c>
      <c r="X2" s="34" t="s">
        <v>332</v>
      </c>
      <c r="Y2" t="s">
        <v>333</v>
      </c>
      <c r="Z2" s="2" t="s">
        <v>334</v>
      </c>
      <c r="AA2">
        <v>1</v>
      </c>
      <c r="AB2" t="s">
        <v>335</v>
      </c>
      <c r="AC2" t="s">
        <v>336</v>
      </c>
      <c r="AD2" t="b">
        <v>1</v>
      </c>
      <c r="AE2" t="s">
        <v>132</v>
      </c>
    </row>
    <row r="3" spans="1:31" ht="28.8" x14ac:dyDescent="0.3">
      <c r="A3" s="276" t="s">
        <v>337</v>
      </c>
      <c r="B3" s="278" t="s">
        <v>338</v>
      </c>
      <c r="C3" s="276" t="s">
        <v>339</v>
      </c>
      <c r="D3" t="s">
        <v>340</v>
      </c>
      <c r="E3" t="str">
        <f t="shared" ref="E3:E66" si="0">RIGHT(D3,2)</f>
        <v>AE</v>
      </c>
      <c r="F3" t="s">
        <v>341</v>
      </c>
      <c r="G3" t="s">
        <v>342</v>
      </c>
      <c r="H3" t="s">
        <v>343</v>
      </c>
      <c r="I3" t="s">
        <v>344</v>
      </c>
      <c r="J3" t="s">
        <v>345</v>
      </c>
      <c r="K3" t="s">
        <v>346</v>
      </c>
      <c r="L3" t="s">
        <v>347</v>
      </c>
      <c r="M3" t="s">
        <v>348</v>
      </c>
      <c r="N3" t="s">
        <v>349</v>
      </c>
      <c r="O3" t="s">
        <v>350</v>
      </c>
      <c r="P3" t="s">
        <v>351</v>
      </c>
      <c r="Q3">
        <v>2001</v>
      </c>
      <c r="R3">
        <v>2</v>
      </c>
      <c r="S3" t="s">
        <v>352</v>
      </c>
      <c r="T3" s="34" t="str">
        <f>template_label_b2_practices_policies_and_future_initiatives_for_transitioning_towards_a_more_sustainable_economy_validation</f>
        <v xml:space="preserve">B2 – Pratiques, politiques et initiatives futures en vue de la transition vers une économie plus durable </v>
      </c>
      <c r="U3" s="277">
        <v>2</v>
      </c>
      <c r="V3" t="s">
        <v>353</v>
      </c>
      <c r="W3" t="s">
        <v>346</v>
      </c>
      <c r="X3" t="s">
        <v>354</v>
      </c>
      <c r="Y3" t="s">
        <v>355</v>
      </c>
      <c r="Z3" s="2" t="s">
        <v>356</v>
      </c>
      <c r="AA3">
        <v>2</v>
      </c>
      <c r="AB3" t="s">
        <v>357</v>
      </c>
      <c r="AC3" t="s">
        <v>358</v>
      </c>
      <c r="AD3" t="b">
        <v>0</v>
      </c>
      <c r="AE3" t="s">
        <v>359</v>
      </c>
    </row>
    <row r="4" spans="1:31" x14ac:dyDescent="0.3">
      <c r="A4" s="275" t="s">
        <v>316</v>
      </c>
      <c r="B4" s="278" t="s">
        <v>360</v>
      </c>
      <c r="C4" s="276" t="s">
        <v>361</v>
      </c>
      <c r="D4" t="s">
        <v>362</v>
      </c>
      <c r="E4" t="str">
        <f t="shared" si="0"/>
        <v>AF</v>
      </c>
      <c r="F4" t="s">
        <v>363</v>
      </c>
      <c r="G4" t="s">
        <v>364</v>
      </c>
      <c r="I4" t="s">
        <v>365</v>
      </c>
      <c r="J4" t="s">
        <v>366</v>
      </c>
      <c r="K4" t="s">
        <v>367</v>
      </c>
      <c r="L4" t="s">
        <v>368</v>
      </c>
      <c r="M4" t="s">
        <v>369</v>
      </c>
      <c r="P4" t="s">
        <v>370</v>
      </c>
      <c r="Q4">
        <v>2002</v>
      </c>
      <c r="R4">
        <v>3</v>
      </c>
      <c r="T4" t="str">
        <f>template_label_b3_energy_and_greenhouse_gas_emissions_validation</f>
        <v>B3 – Énergie et émissions de gaz à effet de serre</v>
      </c>
      <c r="U4" s="277">
        <v>3</v>
      </c>
      <c r="V4" t="s">
        <v>371</v>
      </c>
      <c r="X4" t="s">
        <v>372</v>
      </c>
      <c r="Y4" t="s">
        <v>373</v>
      </c>
      <c r="AA4">
        <v>3</v>
      </c>
      <c r="AB4" t="s">
        <v>374</v>
      </c>
    </row>
    <row r="5" spans="1:31" x14ac:dyDescent="0.3">
      <c r="A5" s="278" t="s">
        <v>338</v>
      </c>
      <c r="B5" s="278" t="s">
        <v>375</v>
      </c>
      <c r="C5" s="276" t="s">
        <v>376</v>
      </c>
      <c r="D5" t="s">
        <v>377</v>
      </c>
      <c r="E5" t="str">
        <f t="shared" si="0"/>
        <v>AG</v>
      </c>
      <c r="F5" t="s">
        <v>378</v>
      </c>
      <c r="G5" t="s">
        <v>379</v>
      </c>
      <c r="I5" t="s">
        <v>380</v>
      </c>
      <c r="J5" t="s">
        <v>381</v>
      </c>
      <c r="M5" t="s">
        <v>382</v>
      </c>
      <c r="Q5">
        <v>2003</v>
      </c>
      <c r="R5">
        <v>4</v>
      </c>
      <c r="T5" s="34" t="str">
        <f>template_label_b4_pollution_of_air_water_and_soil_validation</f>
        <v>B4 - Pollution de l’air, de l’eau et des sols</v>
      </c>
      <c r="U5" s="277">
        <v>4</v>
      </c>
      <c r="V5" t="s">
        <v>383</v>
      </c>
      <c r="X5" t="s">
        <v>384</v>
      </c>
      <c r="Y5" t="s">
        <v>385</v>
      </c>
      <c r="AA5">
        <v>4</v>
      </c>
      <c r="AB5" t="s">
        <v>386</v>
      </c>
    </row>
    <row r="6" spans="1:31" x14ac:dyDescent="0.3">
      <c r="A6" s="279" t="s">
        <v>387</v>
      </c>
      <c r="B6" s="278" t="s">
        <v>388</v>
      </c>
      <c r="C6" s="276" t="s">
        <v>389</v>
      </c>
      <c r="D6" t="s">
        <v>390</v>
      </c>
      <c r="E6" t="str">
        <f t="shared" si="0"/>
        <v>AI</v>
      </c>
      <c r="F6" t="s">
        <v>391</v>
      </c>
      <c r="G6" t="s">
        <v>392</v>
      </c>
      <c r="I6" t="s">
        <v>393</v>
      </c>
      <c r="J6" t="s">
        <v>394</v>
      </c>
      <c r="M6" t="s">
        <v>395</v>
      </c>
      <c r="Q6">
        <v>2004</v>
      </c>
      <c r="R6">
        <v>5</v>
      </c>
      <c r="T6" s="34" t="str">
        <f>template_label_b5_biodiversity_validation</f>
        <v xml:space="preserve">B5 – Biodiversité
</v>
      </c>
      <c r="U6" s="277">
        <v>5</v>
      </c>
      <c r="V6" t="s">
        <v>396</v>
      </c>
      <c r="X6" t="s">
        <v>397</v>
      </c>
      <c r="Y6" t="s">
        <v>398</v>
      </c>
      <c r="AA6">
        <v>5</v>
      </c>
    </row>
    <row r="7" spans="1:31" x14ac:dyDescent="0.3">
      <c r="A7" s="279" t="s">
        <v>399</v>
      </c>
      <c r="B7" s="278" t="s">
        <v>400</v>
      </c>
      <c r="C7" s="276" t="s">
        <v>401</v>
      </c>
      <c r="D7" t="s">
        <v>402</v>
      </c>
      <c r="E7" t="str">
        <f t="shared" si="0"/>
        <v>AL</v>
      </c>
      <c r="F7" t="s">
        <v>403</v>
      </c>
      <c r="G7" t="s">
        <v>404</v>
      </c>
      <c r="I7" t="s">
        <v>405</v>
      </c>
      <c r="M7" t="s">
        <v>406</v>
      </c>
      <c r="Q7">
        <v>2005</v>
      </c>
      <c r="R7">
        <v>6</v>
      </c>
      <c r="T7" s="34" t="str">
        <f>template_label_b6_water_validation</f>
        <v>B6 – Eau</v>
      </c>
      <c r="U7" s="277">
        <v>6</v>
      </c>
      <c r="V7" t="s">
        <v>407</v>
      </c>
      <c r="X7" t="s">
        <v>408</v>
      </c>
      <c r="Y7" t="s">
        <v>409</v>
      </c>
      <c r="AA7">
        <v>6</v>
      </c>
    </row>
    <row r="8" spans="1:31" x14ac:dyDescent="0.3">
      <c r="A8" s="279" t="s">
        <v>410</v>
      </c>
      <c r="B8" s="278" t="s">
        <v>411</v>
      </c>
      <c r="C8" s="276" t="s">
        <v>412</v>
      </c>
      <c r="D8" t="s">
        <v>413</v>
      </c>
      <c r="E8" t="str">
        <f t="shared" si="0"/>
        <v>AM</v>
      </c>
      <c r="F8" t="s">
        <v>414</v>
      </c>
      <c r="G8" t="s">
        <v>415</v>
      </c>
      <c r="I8" t="s">
        <v>416</v>
      </c>
      <c r="M8" t="s">
        <v>417</v>
      </c>
      <c r="Q8">
        <v>2006</v>
      </c>
      <c r="R8">
        <v>7</v>
      </c>
      <c r="T8" s="34" t="str">
        <f>template_label_b7_resource_use_circular_economy_and_waste_management_validation</f>
        <v>B7 - Utilisation des ressources, économie circulaire et gestion des déchets</v>
      </c>
      <c r="U8" s="277">
        <v>7</v>
      </c>
      <c r="V8" t="s">
        <v>418</v>
      </c>
      <c r="X8" t="s">
        <v>419</v>
      </c>
      <c r="Y8" t="s">
        <v>420</v>
      </c>
      <c r="AA8">
        <v>7</v>
      </c>
    </row>
    <row r="9" spans="1:31" x14ac:dyDescent="0.3">
      <c r="A9" s="279" t="s">
        <v>421</v>
      </c>
      <c r="B9" s="278" t="s">
        <v>422</v>
      </c>
      <c r="C9" s="276" t="s">
        <v>423</v>
      </c>
      <c r="D9" t="s">
        <v>424</v>
      </c>
      <c r="E9" t="str">
        <f t="shared" si="0"/>
        <v>AN</v>
      </c>
      <c r="F9" t="s">
        <v>425</v>
      </c>
      <c r="G9" t="s">
        <v>426</v>
      </c>
      <c r="I9" t="s">
        <v>427</v>
      </c>
      <c r="M9" t="s">
        <v>428</v>
      </c>
      <c r="Q9">
        <v>2007</v>
      </c>
      <c r="R9">
        <v>8</v>
      </c>
      <c r="T9" t="str">
        <f>template_label_b8_workforce_general_characteristics_validation</f>
        <v>B8 – Personnel – Caractéristiques générales</v>
      </c>
      <c r="U9" s="277">
        <v>8</v>
      </c>
      <c r="V9" t="s">
        <v>429</v>
      </c>
      <c r="X9" t="s">
        <v>430</v>
      </c>
      <c r="Y9" t="s">
        <v>431</v>
      </c>
      <c r="AA9">
        <v>8</v>
      </c>
    </row>
    <row r="10" spans="1:31" x14ac:dyDescent="0.3">
      <c r="A10" s="279" t="s">
        <v>432</v>
      </c>
      <c r="B10" s="275" t="s">
        <v>433</v>
      </c>
      <c r="C10" s="276" t="s">
        <v>434</v>
      </c>
      <c r="D10" t="s">
        <v>435</v>
      </c>
      <c r="E10" t="str">
        <f t="shared" si="0"/>
        <v>AO</v>
      </c>
      <c r="F10" t="s">
        <v>436</v>
      </c>
      <c r="G10" t="s">
        <v>437</v>
      </c>
      <c r="I10" t="s">
        <v>438</v>
      </c>
      <c r="M10" t="s">
        <v>439</v>
      </c>
      <c r="Q10">
        <v>2008</v>
      </c>
      <c r="R10">
        <v>9</v>
      </c>
      <c r="T10" s="34" t="str">
        <f>template_label_b9_workforce_health_and_safety_validation</f>
        <v>B9 – Personnel – Santé et sécurité</v>
      </c>
      <c r="U10" s="277">
        <v>9</v>
      </c>
      <c r="V10" t="s">
        <v>440</v>
      </c>
      <c r="X10" t="s">
        <v>441</v>
      </c>
      <c r="Y10" t="s">
        <v>442</v>
      </c>
      <c r="AA10">
        <v>9</v>
      </c>
    </row>
    <row r="11" spans="1:31" x14ac:dyDescent="0.3">
      <c r="A11" s="279" t="s">
        <v>443</v>
      </c>
      <c r="B11" s="278" t="s">
        <v>444</v>
      </c>
      <c r="C11" s="276" t="s">
        <v>445</v>
      </c>
      <c r="D11" t="s">
        <v>446</v>
      </c>
      <c r="E11" t="str">
        <f t="shared" si="0"/>
        <v>AQ</v>
      </c>
      <c r="F11" t="s">
        <v>447</v>
      </c>
      <c r="G11" t="s">
        <v>448</v>
      </c>
      <c r="I11" t="s">
        <v>449</v>
      </c>
      <c r="M11" t="s">
        <v>450</v>
      </c>
      <c r="Q11">
        <v>2009</v>
      </c>
      <c r="R11">
        <v>10</v>
      </c>
      <c r="T11" s="34" t="str">
        <f>template_label_b10_workforce_remuneration_collective_bargaining_and_training_validation</f>
        <v>B10 –   Personnel – Rémunération, négociation collective et formation</v>
      </c>
      <c r="U11" s="277">
        <v>10</v>
      </c>
      <c r="V11" t="s">
        <v>451</v>
      </c>
      <c r="X11" t="s">
        <v>452</v>
      </c>
      <c r="Y11" t="s">
        <v>453</v>
      </c>
      <c r="AA11">
        <v>10</v>
      </c>
    </row>
    <row r="12" spans="1:31" x14ac:dyDescent="0.3">
      <c r="A12" s="279" t="s">
        <v>454</v>
      </c>
      <c r="B12" s="278" t="s">
        <v>455</v>
      </c>
      <c r="C12" s="276" t="s">
        <v>456</v>
      </c>
      <c r="D12" t="s">
        <v>457</v>
      </c>
      <c r="E12" t="str">
        <f t="shared" si="0"/>
        <v>AR</v>
      </c>
      <c r="F12" t="s">
        <v>458</v>
      </c>
      <c r="G12" t="s">
        <v>459</v>
      </c>
      <c r="I12" t="s">
        <v>460</v>
      </c>
      <c r="M12" t="s">
        <v>461</v>
      </c>
      <c r="Q12">
        <v>2010</v>
      </c>
      <c r="R12">
        <v>11</v>
      </c>
      <c r="T12" s="34" t="str">
        <f>template_label_b11_convictions_and_fines_for_corruption_and_bribery_validation</f>
        <v>B11 – Condamnations et amendes pour corruption et pots-de-vin</v>
      </c>
      <c r="U12" s="277">
        <v>11</v>
      </c>
      <c r="V12" t="s">
        <v>462</v>
      </c>
      <c r="X12" t="s">
        <v>463</v>
      </c>
      <c r="Y12" t="s">
        <v>464</v>
      </c>
      <c r="AA12">
        <v>11</v>
      </c>
    </row>
    <row r="13" spans="1:31" x14ac:dyDescent="0.3">
      <c r="A13" s="278" t="s">
        <v>360</v>
      </c>
      <c r="B13" s="278" t="s">
        <v>465</v>
      </c>
      <c r="C13" s="276" t="s">
        <v>466</v>
      </c>
      <c r="D13" t="s">
        <v>467</v>
      </c>
      <c r="E13" t="str">
        <f t="shared" si="0"/>
        <v>AS</v>
      </c>
      <c r="F13" t="s">
        <v>468</v>
      </c>
      <c r="G13" t="s">
        <v>469</v>
      </c>
      <c r="I13" t="s">
        <v>470</v>
      </c>
      <c r="Q13">
        <v>2011</v>
      </c>
      <c r="R13">
        <v>12</v>
      </c>
      <c r="T13" s="34" t="str">
        <f>template_label_c1_strategy_business_model_and_sustainability_related_initiatives_validation</f>
        <v xml:space="preserve">C1 – Stratégie : modèle économique et durabilité – initiatives associées
</v>
      </c>
      <c r="U13" s="277">
        <v>12</v>
      </c>
      <c r="V13" t="s">
        <v>471</v>
      </c>
      <c r="X13" t="s">
        <v>472</v>
      </c>
      <c r="Y13" t="s">
        <v>473</v>
      </c>
      <c r="AA13">
        <v>12</v>
      </c>
    </row>
    <row r="14" spans="1:31" x14ac:dyDescent="0.3">
      <c r="A14" s="279" t="s">
        <v>474</v>
      </c>
      <c r="B14" s="278" t="s">
        <v>475</v>
      </c>
      <c r="C14" s="276" t="s">
        <v>476</v>
      </c>
      <c r="D14" t="s">
        <v>477</v>
      </c>
      <c r="E14" t="str">
        <f t="shared" si="0"/>
        <v>AT</v>
      </c>
      <c r="F14" t="s">
        <v>478</v>
      </c>
      <c r="G14" t="s">
        <v>479</v>
      </c>
      <c r="I14" t="s">
        <v>480</v>
      </c>
      <c r="Q14">
        <v>2012</v>
      </c>
      <c r="T14" s="34" t="str">
        <f>template_label_c2_description_of_practices_policies_and_future_initiatives_for_transitioning_towards_a_more_sustainable_economy_validation</f>
        <v>C2 – Description des pratiques, politiques et initiatives futures en vue de la transition vers une économie plus durable</v>
      </c>
      <c r="X14" t="s">
        <v>481</v>
      </c>
      <c r="Y14" t="s">
        <v>482</v>
      </c>
      <c r="AA14">
        <v>13</v>
      </c>
    </row>
    <row r="15" spans="1:31" x14ac:dyDescent="0.3">
      <c r="A15" s="279" t="s">
        <v>483</v>
      </c>
      <c r="B15" s="275" t="s">
        <v>484</v>
      </c>
      <c r="C15" s="276" t="s">
        <v>485</v>
      </c>
      <c r="D15" t="s">
        <v>486</v>
      </c>
      <c r="E15" t="str">
        <f t="shared" si="0"/>
        <v>AU</v>
      </c>
      <c r="F15" t="s">
        <v>487</v>
      </c>
      <c r="G15" t="s">
        <v>488</v>
      </c>
      <c r="I15" t="s">
        <v>489</v>
      </c>
      <c r="Q15">
        <v>2013</v>
      </c>
      <c r="T15" t="str">
        <f>template_label_c3_ghg_reduction_targets_and_climate_transition_validation</f>
        <v>C3 –   Cibles de réduction des émissions de GES et transition climatique</v>
      </c>
      <c r="X15" t="s">
        <v>490</v>
      </c>
      <c r="Y15" t="s">
        <v>491</v>
      </c>
      <c r="AA15">
        <v>14</v>
      </c>
    </row>
    <row r="16" spans="1:31" x14ac:dyDescent="0.3">
      <c r="A16" s="279" t="s">
        <v>492</v>
      </c>
      <c r="B16" s="278" t="s">
        <v>493</v>
      </c>
      <c r="C16" s="276" t="s">
        <v>494</v>
      </c>
      <c r="D16" t="s">
        <v>495</v>
      </c>
      <c r="E16" t="str">
        <f t="shared" si="0"/>
        <v>AW</v>
      </c>
      <c r="F16" t="s">
        <v>496</v>
      </c>
      <c r="G16" t="s">
        <v>497</v>
      </c>
      <c r="I16" t="s">
        <v>498</v>
      </c>
      <c r="Q16">
        <v>2014</v>
      </c>
      <c r="T16" s="34" t="str">
        <f>template_label_c4_climate_risks_validation</f>
        <v>C4 – Risques climatiques</v>
      </c>
      <c r="X16" t="s">
        <v>499</v>
      </c>
      <c r="Y16" t="s">
        <v>500</v>
      </c>
      <c r="AA16">
        <v>15</v>
      </c>
    </row>
    <row r="17" spans="1:27" x14ac:dyDescent="0.3">
      <c r="A17" s="279" t="s">
        <v>501</v>
      </c>
      <c r="B17" s="278" t="s">
        <v>502</v>
      </c>
      <c r="C17" s="276" t="s">
        <v>503</v>
      </c>
      <c r="D17" t="s">
        <v>504</v>
      </c>
      <c r="E17" t="str">
        <f t="shared" si="0"/>
        <v>AX</v>
      </c>
      <c r="F17" t="s">
        <v>505</v>
      </c>
      <c r="G17" t="s">
        <v>506</v>
      </c>
      <c r="I17" t="s">
        <v>507</v>
      </c>
      <c r="Q17">
        <v>2015</v>
      </c>
      <c r="T17" s="34" t="str">
        <f>template_label_c5_additional_general_workforce_characteristics_validation</f>
        <v>C5 – Caractéristiques supplémentaires (générales) du personnel</v>
      </c>
      <c r="X17" t="s">
        <v>508</v>
      </c>
      <c r="Y17" t="s">
        <v>509</v>
      </c>
      <c r="AA17">
        <v>16</v>
      </c>
    </row>
    <row r="18" spans="1:27" x14ac:dyDescent="0.3">
      <c r="A18" s="279" t="s">
        <v>510</v>
      </c>
      <c r="B18" s="278" t="s">
        <v>511</v>
      </c>
      <c r="C18" s="276" t="s">
        <v>512</v>
      </c>
      <c r="D18" t="s">
        <v>513</v>
      </c>
      <c r="E18" t="str">
        <f t="shared" si="0"/>
        <v>AZ</v>
      </c>
      <c r="F18" t="s">
        <v>514</v>
      </c>
      <c r="G18" t="s">
        <v>515</v>
      </c>
      <c r="I18" t="s">
        <v>516</v>
      </c>
      <c r="Q18">
        <v>2016</v>
      </c>
      <c r="T18" s="34" t="str">
        <f>template_label_c6_additional_own_workforce_information_human_rights_policies_and_processes_validation</f>
        <v>C6 – Informations supplémentaires sur le personnel – Politiques et procédures en matière de droits de l’homme</v>
      </c>
      <c r="X18" t="s">
        <v>517</v>
      </c>
      <c r="Y18" t="s">
        <v>518</v>
      </c>
      <c r="AA18">
        <v>17</v>
      </c>
    </row>
    <row r="19" spans="1:27" x14ac:dyDescent="0.3">
      <c r="A19" s="279" t="s">
        <v>519</v>
      </c>
      <c r="B19" s="276" t="s">
        <v>337</v>
      </c>
      <c r="C19" s="276" t="s">
        <v>520</v>
      </c>
      <c r="D19" t="s">
        <v>521</v>
      </c>
      <c r="E19" t="str">
        <f t="shared" si="0"/>
        <v>BA</v>
      </c>
      <c r="F19" t="s">
        <v>522</v>
      </c>
      <c r="G19" t="s">
        <v>523</v>
      </c>
      <c r="I19" t="s">
        <v>524</v>
      </c>
      <c r="Q19">
        <v>2017</v>
      </c>
      <c r="T19" s="34" t="str">
        <f>template_label_c7_severe_negative_human_rights_incidents_validation</f>
        <v>C7 – Incidents graves en matière de droits de l’homme</v>
      </c>
      <c r="X19" t="s">
        <v>525</v>
      </c>
      <c r="Y19" t="s">
        <v>526</v>
      </c>
      <c r="AA19">
        <v>18</v>
      </c>
    </row>
    <row r="20" spans="1:27" x14ac:dyDescent="0.3">
      <c r="A20" s="279" t="s">
        <v>527</v>
      </c>
      <c r="B20" s="275" t="s">
        <v>528</v>
      </c>
      <c r="C20" s="276" t="s">
        <v>529</v>
      </c>
      <c r="D20" t="s">
        <v>530</v>
      </c>
      <c r="E20" t="str">
        <f t="shared" si="0"/>
        <v>BB</v>
      </c>
      <c r="F20" t="s">
        <v>531</v>
      </c>
      <c r="G20" t="s">
        <v>532</v>
      </c>
      <c r="I20" t="s">
        <v>533</v>
      </c>
      <c r="Q20">
        <v>2018</v>
      </c>
      <c r="T20" t="str">
        <f>template_label_c8_revenues_from_certain_sectors_and_exclusion_from_eu_reference_benchmarks_validation</f>
        <v>C8 – Chiffre d’affaires de certains secteurs et exclusion des indices de référence de l’Union européenne</v>
      </c>
      <c r="X20" t="s">
        <v>534</v>
      </c>
      <c r="Y20" t="s">
        <v>535</v>
      </c>
      <c r="AA20">
        <v>19</v>
      </c>
    </row>
    <row r="21" spans="1:27" x14ac:dyDescent="0.3">
      <c r="A21" s="279" t="s">
        <v>536</v>
      </c>
      <c r="B21" s="278" t="s">
        <v>537</v>
      </c>
      <c r="C21" s="276" t="s">
        <v>538</v>
      </c>
      <c r="D21" t="s">
        <v>539</v>
      </c>
      <c r="E21" t="str">
        <f t="shared" si="0"/>
        <v>BD</v>
      </c>
      <c r="F21" t="s">
        <v>540</v>
      </c>
      <c r="G21" t="s">
        <v>541</v>
      </c>
      <c r="I21" t="s">
        <v>542</v>
      </c>
      <c r="Q21">
        <v>2019</v>
      </c>
      <c r="T21" t="str">
        <f>template_label_c9_gender_diversity_ratio_in_the_governance_body_validation</f>
        <v>C9 – Ratio de mixité au sein de l’organe de gouvernance</v>
      </c>
      <c r="X21" t="s">
        <v>543</v>
      </c>
      <c r="Y21" t="s">
        <v>544</v>
      </c>
      <c r="AA21">
        <v>20</v>
      </c>
    </row>
    <row r="22" spans="1:27" x14ac:dyDescent="0.3">
      <c r="A22" s="279" t="s">
        <v>545</v>
      </c>
      <c r="B22" s="278" t="s">
        <v>546</v>
      </c>
      <c r="C22" s="276" t="s">
        <v>547</v>
      </c>
      <c r="D22" t="s">
        <v>548</v>
      </c>
      <c r="E22" t="str">
        <f t="shared" si="0"/>
        <v>BE</v>
      </c>
      <c r="F22" t="s">
        <v>549</v>
      </c>
      <c r="G22" t="s">
        <v>550</v>
      </c>
      <c r="I22" t="s">
        <v>551</v>
      </c>
      <c r="Q22">
        <v>2020</v>
      </c>
      <c r="X22" t="s">
        <v>552</v>
      </c>
      <c r="Y22" t="s">
        <v>553</v>
      </c>
      <c r="AA22">
        <v>21</v>
      </c>
    </row>
    <row r="23" spans="1:27" x14ac:dyDescent="0.3">
      <c r="A23" s="278" t="s">
        <v>375</v>
      </c>
      <c r="B23" s="275" t="s">
        <v>554</v>
      </c>
      <c r="C23" s="276" t="s">
        <v>555</v>
      </c>
      <c r="D23" t="s">
        <v>556</v>
      </c>
      <c r="E23" t="str">
        <f t="shared" si="0"/>
        <v>BF</v>
      </c>
      <c r="F23" s="82"/>
      <c r="G23" t="s">
        <v>557</v>
      </c>
      <c r="I23" t="s">
        <v>558</v>
      </c>
      <c r="Q23">
        <v>2021</v>
      </c>
      <c r="X23" t="s">
        <v>559</v>
      </c>
      <c r="Y23" t="s">
        <v>560</v>
      </c>
      <c r="AA23">
        <v>22</v>
      </c>
    </row>
    <row r="24" spans="1:27" x14ac:dyDescent="0.3">
      <c r="A24" s="279" t="s">
        <v>561</v>
      </c>
      <c r="B24" s="278" t="s">
        <v>562</v>
      </c>
      <c r="C24" s="276" t="s">
        <v>563</v>
      </c>
      <c r="D24" t="s">
        <v>564</v>
      </c>
      <c r="E24" t="str">
        <f t="shared" si="0"/>
        <v>BG</v>
      </c>
      <c r="F24" s="348"/>
      <c r="G24" t="s">
        <v>565</v>
      </c>
      <c r="I24" t="s">
        <v>566</v>
      </c>
      <c r="Q24">
        <v>2022</v>
      </c>
      <c r="X24" t="s">
        <v>567</v>
      </c>
      <c r="Y24" t="s">
        <v>568</v>
      </c>
      <c r="AA24">
        <v>23</v>
      </c>
    </row>
    <row r="25" spans="1:27" x14ac:dyDescent="0.3">
      <c r="A25" s="278" t="s">
        <v>388</v>
      </c>
      <c r="B25" s="278" t="s">
        <v>569</v>
      </c>
      <c r="C25" s="276" t="s">
        <v>570</v>
      </c>
      <c r="D25" t="s">
        <v>571</v>
      </c>
      <c r="E25" t="str">
        <f t="shared" si="0"/>
        <v>BH</v>
      </c>
      <c r="F25" s="348"/>
      <c r="G25" t="s">
        <v>572</v>
      </c>
      <c r="I25" t="s">
        <v>573</v>
      </c>
      <c r="Q25">
        <v>2023</v>
      </c>
      <c r="X25" t="s">
        <v>574</v>
      </c>
      <c r="Y25" t="s">
        <v>575</v>
      </c>
      <c r="AA25">
        <v>24</v>
      </c>
    </row>
    <row r="26" spans="1:27" x14ac:dyDescent="0.3">
      <c r="A26" s="279" t="s">
        <v>576</v>
      </c>
      <c r="B26" s="275" t="s">
        <v>577</v>
      </c>
      <c r="C26" s="276" t="s">
        <v>578</v>
      </c>
      <c r="D26" t="s">
        <v>579</v>
      </c>
      <c r="E26" t="str">
        <f t="shared" si="0"/>
        <v>BI</v>
      </c>
      <c r="F26" s="348"/>
      <c r="G26" t="s">
        <v>580</v>
      </c>
      <c r="I26" t="s">
        <v>581</v>
      </c>
      <c r="Q26">
        <v>2024</v>
      </c>
      <c r="X26" t="s">
        <v>582</v>
      </c>
      <c r="Y26" t="s">
        <v>583</v>
      </c>
      <c r="AA26">
        <v>25</v>
      </c>
    </row>
    <row r="27" spans="1:27" x14ac:dyDescent="0.3">
      <c r="A27" s="279" t="s">
        <v>584</v>
      </c>
      <c r="B27" s="278" t="s">
        <v>585</v>
      </c>
      <c r="C27" s="276" t="s">
        <v>586</v>
      </c>
      <c r="D27" t="s">
        <v>587</v>
      </c>
      <c r="E27" t="str">
        <f t="shared" si="0"/>
        <v>BJ</v>
      </c>
      <c r="F27" s="348"/>
      <c r="G27" t="s">
        <v>588</v>
      </c>
      <c r="I27" t="s">
        <v>589</v>
      </c>
      <c r="Q27">
        <v>2025</v>
      </c>
      <c r="X27" t="s">
        <v>590</v>
      </c>
      <c r="Y27" t="s">
        <v>591</v>
      </c>
      <c r="AA27">
        <v>26</v>
      </c>
    </row>
    <row r="28" spans="1:27" x14ac:dyDescent="0.3">
      <c r="A28" s="279" t="s">
        <v>592</v>
      </c>
      <c r="B28" s="278" t="s">
        <v>593</v>
      </c>
      <c r="C28" s="276" t="s">
        <v>594</v>
      </c>
      <c r="D28" t="s">
        <v>595</v>
      </c>
      <c r="E28" t="str">
        <f t="shared" si="0"/>
        <v>BL</v>
      </c>
      <c r="F28" s="348"/>
      <c r="G28" t="s">
        <v>596</v>
      </c>
      <c r="I28" t="s">
        <v>597</v>
      </c>
      <c r="Q28">
        <v>2026</v>
      </c>
      <c r="X28" t="s">
        <v>598</v>
      </c>
      <c r="Y28" t="s">
        <v>599</v>
      </c>
      <c r="AA28">
        <v>27</v>
      </c>
    </row>
    <row r="29" spans="1:27" x14ac:dyDescent="0.3">
      <c r="A29" s="279" t="s">
        <v>600</v>
      </c>
      <c r="B29" s="275" t="s">
        <v>601</v>
      </c>
      <c r="C29" s="276" t="s">
        <v>602</v>
      </c>
      <c r="D29" t="s">
        <v>603</v>
      </c>
      <c r="E29" t="str">
        <f t="shared" si="0"/>
        <v>BM</v>
      </c>
      <c r="F29" s="348"/>
      <c r="G29" t="s">
        <v>604</v>
      </c>
      <c r="I29" t="s">
        <v>605</v>
      </c>
      <c r="Q29">
        <v>2027</v>
      </c>
      <c r="X29" t="s">
        <v>606</v>
      </c>
      <c r="Y29" t="s">
        <v>607</v>
      </c>
      <c r="AA29">
        <v>28</v>
      </c>
    </row>
    <row r="30" spans="1:27" x14ac:dyDescent="0.3">
      <c r="A30" s="279" t="s">
        <v>608</v>
      </c>
      <c r="B30" s="278" t="s">
        <v>609</v>
      </c>
      <c r="C30" s="276" t="s">
        <v>610</v>
      </c>
      <c r="D30" t="s">
        <v>611</v>
      </c>
      <c r="E30" t="str">
        <f t="shared" si="0"/>
        <v>BN</v>
      </c>
      <c r="F30" s="82"/>
      <c r="G30" t="s">
        <v>612</v>
      </c>
      <c r="I30" t="s">
        <v>613</v>
      </c>
      <c r="Q30">
        <v>2028</v>
      </c>
      <c r="X30" t="s">
        <v>614</v>
      </c>
      <c r="Y30" t="s">
        <v>615</v>
      </c>
      <c r="AA30">
        <v>29</v>
      </c>
    </row>
    <row r="31" spans="1:27" x14ac:dyDescent="0.3">
      <c r="A31" s="279" t="s">
        <v>616</v>
      </c>
      <c r="B31" s="278" t="s">
        <v>617</v>
      </c>
      <c r="C31" s="276" t="s">
        <v>618</v>
      </c>
      <c r="D31" t="s">
        <v>619</v>
      </c>
      <c r="E31" t="str">
        <f t="shared" si="0"/>
        <v>BO</v>
      </c>
      <c r="F31" s="348"/>
      <c r="G31" t="s">
        <v>620</v>
      </c>
      <c r="I31" t="s">
        <v>621</v>
      </c>
      <c r="Q31">
        <v>2029</v>
      </c>
      <c r="X31" t="s">
        <v>622</v>
      </c>
      <c r="Y31" t="s">
        <v>623</v>
      </c>
      <c r="AA31">
        <v>30</v>
      </c>
    </row>
    <row r="32" spans="1:27" x14ac:dyDescent="0.3">
      <c r="A32" s="279" t="s">
        <v>624</v>
      </c>
      <c r="B32" s="275" t="s">
        <v>625</v>
      </c>
      <c r="C32" s="276" t="s">
        <v>626</v>
      </c>
      <c r="D32" t="s">
        <v>627</v>
      </c>
      <c r="E32" t="str">
        <f t="shared" si="0"/>
        <v>BQ</v>
      </c>
      <c r="F32" s="347"/>
      <c r="G32" t="s">
        <v>628</v>
      </c>
      <c r="I32" t="s">
        <v>629</v>
      </c>
      <c r="Q32">
        <v>2030</v>
      </c>
      <c r="X32" t="s">
        <v>630</v>
      </c>
      <c r="Y32" t="s">
        <v>631</v>
      </c>
      <c r="AA32">
        <v>31</v>
      </c>
    </row>
    <row r="33" spans="1:25" x14ac:dyDescent="0.3">
      <c r="A33" s="279" t="s">
        <v>632</v>
      </c>
      <c r="B33" s="278" t="s">
        <v>633</v>
      </c>
      <c r="C33" s="276" t="s">
        <v>634</v>
      </c>
      <c r="D33" t="s">
        <v>635</v>
      </c>
      <c r="E33" t="str">
        <f t="shared" si="0"/>
        <v>BR</v>
      </c>
      <c r="F33" s="347"/>
      <c r="G33" t="s">
        <v>636</v>
      </c>
      <c r="I33" t="s">
        <v>637</v>
      </c>
      <c r="Q33">
        <v>2031</v>
      </c>
      <c r="X33" t="s">
        <v>638</v>
      </c>
      <c r="Y33" t="s">
        <v>639</v>
      </c>
    </row>
    <row r="34" spans="1:25" x14ac:dyDescent="0.3">
      <c r="A34" s="278" t="s">
        <v>400</v>
      </c>
      <c r="B34" s="278" t="s">
        <v>640</v>
      </c>
      <c r="C34" s="276" t="s">
        <v>641</v>
      </c>
      <c r="D34" t="s">
        <v>642</v>
      </c>
      <c r="E34" t="str">
        <f t="shared" si="0"/>
        <v>BS</v>
      </c>
      <c r="F34" s="347"/>
      <c r="G34" t="s">
        <v>643</v>
      </c>
      <c r="I34" t="s">
        <v>644</v>
      </c>
      <c r="Q34">
        <v>2032</v>
      </c>
      <c r="X34" t="s">
        <v>645</v>
      </c>
      <c r="Y34" t="s">
        <v>646</v>
      </c>
    </row>
    <row r="35" spans="1:25" x14ac:dyDescent="0.3">
      <c r="A35" s="279" t="s">
        <v>647</v>
      </c>
      <c r="B35" s="276" t="s">
        <v>648</v>
      </c>
      <c r="C35" s="276" t="s">
        <v>649</v>
      </c>
      <c r="D35" t="s">
        <v>650</v>
      </c>
      <c r="E35" t="str">
        <f t="shared" si="0"/>
        <v>BT</v>
      </c>
      <c r="F35" s="348"/>
      <c r="G35" t="s">
        <v>651</v>
      </c>
      <c r="I35" t="s">
        <v>652</v>
      </c>
      <c r="Q35">
        <v>2033</v>
      </c>
      <c r="X35" t="s">
        <v>653</v>
      </c>
      <c r="Y35" t="s">
        <v>654</v>
      </c>
    </row>
    <row r="36" spans="1:25" x14ac:dyDescent="0.3">
      <c r="A36" s="278" t="s">
        <v>411</v>
      </c>
      <c r="B36" s="275" t="s">
        <v>655</v>
      </c>
      <c r="C36" s="276" t="s">
        <v>656</v>
      </c>
      <c r="D36" t="s">
        <v>657</v>
      </c>
      <c r="E36" t="str">
        <f t="shared" si="0"/>
        <v>BU</v>
      </c>
      <c r="F36" s="348"/>
      <c r="G36" t="s">
        <v>658</v>
      </c>
      <c r="I36" t="s">
        <v>659</v>
      </c>
      <c r="Q36">
        <v>2034</v>
      </c>
      <c r="X36" t="s">
        <v>660</v>
      </c>
      <c r="Y36" t="s">
        <v>661</v>
      </c>
    </row>
    <row r="37" spans="1:25" x14ac:dyDescent="0.3">
      <c r="A37" s="279" t="s">
        <v>662</v>
      </c>
      <c r="B37" s="278" t="s">
        <v>663</v>
      </c>
      <c r="C37" s="276" t="s">
        <v>664</v>
      </c>
      <c r="D37" t="s">
        <v>665</v>
      </c>
      <c r="E37" t="str">
        <f t="shared" si="0"/>
        <v>BV</v>
      </c>
      <c r="F37" s="348"/>
      <c r="G37" t="s">
        <v>666</v>
      </c>
      <c r="I37" t="s">
        <v>667</v>
      </c>
      <c r="Q37">
        <v>2035</v>
      </c>
      <c r="X37" t="s">
        <v>668</v>
      </c>
      <c r="Y37" t="s">
        <v>669</v>
      </c>
    </row>
    <row r="38" spans="1:25" x14ac:dyDescent="0.3">
      <c r="A38" s="279" t="s">
        <v>670</v>
      </c>
      <c r="B38" s="278" t="s">
        <v>671</v>
      </c>
      <c r="C38" s="276" t="s">
        <v>672</v>
      </c>
      <c r="D38" t="s">
        <v>673</v>
      </c>
      <c r="E38" t="str">
        <f t="shared" si="0"/>
        <v>BW</v>
      </c>
      <c r="F38" s="348"/>
      <c r="G38" t="s">
        <v>674</v>
      </c>
      <c r="I38" t="s">
        <v>675</v>
      </c>
      <c r="Q38">
        <v>2036</v>
      </c>
      <c r="X38" t="s">
        <v>676</v>
      </c>
      <c r="Y38" t="s">
        <v>677</v>
      </c>
    </row>
    <row r="39" spans="1:25" x14ac:dyDescent="0.3">
      <c r="A39" s="279" t="s">
        <v>678</v>
      </c>
      <c r="B39" s="278" t="s">
        <v>679</v>
      </c>
      <c r="C39" s="276" t="s">
        <v>680</v>
      </c>
      <c r="D39" t="s">
        <v>681</v>
      </c>
      <c r="E39" t="str">
        <f t="shared" si="0"/>
        <v>BY</v>
      </c>
      <c r="F39" s="348"/>
      <c r="G39" t="s">
        <v>682</v>
      </c>
      <c r="I39" t="s">
        <v>683</v>
      </c>
      <c r="Q39">
        <v>2037</v>
      </c>
      <c r="X39" t="s">
        <v>684</v>
      </c>
      <c r="Y39" t="s">
        <v>685</v>
      </c>
    </row>
    <row r="40" spans="1:25" x14ac:dyDescent="0.3">
      <c r="A40" s="278" t="s">
        <v>422</v>
      </c>
      <c r="B40" s="278" t="s">
        <v>686</v>
      </c>
      <c r="C40" s="276" t="s">
        <v>687</v>
      </c>
      <c r="D40" t="s">
        <v>688</v>
      </c>
      <c r="E40" t="str">
        <f t="shared" si="0"/>
        <v>BZ</v>
      </c>
      <c r="F40" s="348"/>
      <c r="G40" t="s">
        <v>689</v>
      </c>
      <c r="I40" t="s">
        <v>690</v>
      </c>
      <c r="Q40">
        <v>2038</v>
      </c>
      <c r="X40" t="s">
        <v>691</v>
      </c>
      <c r="Y40" t="s">
        <v>692</v>
      </c>
    </row>
    <row r="41" spans="1:25" x14ac:dyDescent="0.3">
      <c r="A41" s="279" t="s">
        <v>693</v>
      </c>
      <c r="B41" s="278" t="s">
        <v>694</v>
      </c>
      <c r="C41" s="276" t="s">
        <v>695</v>
      </c>
      <c r="D41" t="s">
        <v>696</v>
      </c>
      <c r="E41" t="str">
        <f t="shared" si="0"/>
        <v>CA</v>
      </c>
      <c r="F41" s="348"/>
      <c r="G41" t="s">
        <v>697</v>
      </c>
      <c r="I41" t="s">
        <v>698</v>
      </c>
      <c r="Q41">
        <v>2039</v>
      </c>
      <c r="X41" t="s">
        <v>699</v>
      </c>
      <c r="Y41" t="s">
        <v>700</v>
      </c>
    </row>
    <row r="42" spans="1:25" x14ac:dyDescent="0.3">
      <c r="A42" s="275" t="s">
        <v>433</v>
      </c>
      <c r="B42" s="278" t="s">
        <v>701</v>
      </c>
      <c r="C42" s="276" t="s">
        <v>702</v>
      </c>
      <c r="D42" t="s">
        <v>703</v>
      </c>
      <c r="E42" t="str">
        <f t="shared" si="0"/>
        <v>CC</v>
      </c>
      <c r="F42" s="348"/>
      <c r="G42" t="s">
        <v>704</v>
      </c>
      <c r="I42" t="s">
        <v>705</v>
      </c>
      <c r="Q42">
        <v>2040</v>
      </c>
      <c r="X42" t="s">
        <v>706</v>
      </c>
      <c r="Y42" t="s">
        <v>707</v>
      </c>
    </row>
    <row r="43" spans="1:25" x14ac:dyDescent="0.3">
      <c r="A43" s="278" t="s">
        <v>444</v>
      </c>
      <c r="B43" s="278" t="s">
        <v>708</v>
      </c>
      <c r="C43" s="276" t="s">
        <v>709</v>
      </c>
      <c r="D43" t="s">
        <v>710</v>
      </c>
      <c r="E43" t="str">
        <f t="shared" si="0"/>
        <v>CD</v>
      </c>
      <c r="F43" s="348"/>
      <c r="G43" t="s">
        <v>711</v>
      </c>
      <c r="I43" t="s">
        <v>712</v>
      </c>
      <c r="Q43">
        <v>2041</v>
      </c>
      <c r="X43" t="s">
        <v>713</v>
      </c>
      <c r="Y43" t="s">
        <v>714</v>
      </c>
    </row>
    <row r="44" spans="1:25" x14ac:dyDescent="0.3">
      <c r="A44" s="279" t="s">
        <v>715</v>
      </c>
      <c r="B44" s="278" t="s">
        <v>716</v>
      </c>
      <c r="C44" s="276" t="s">
        <v>717</v>
      </c>
      <c r="D44" t="s">
        <v>718</v>
      </c>
      <c r="E44" t="str">
        <f t="shared" si="0"/>
        <v>CF</v>
      </c>
      <c r="F44" s="348"/>
      <c r="G44" t="s">
        <v>719</v>
      </c>
      <c r="I44" t="s">
        <v>720</v>
      </c>
      <c r="Q44">
        <v>2042</v>
      </c>
      <c r="X44" t="s">
        <v>721</v>
      </c>
      <c r="Y44" t="s">
        <v>722</v>
      </c>
    </row>
    <row r="45" spans="1:25" x14ac:dyDescent="0.3">
      <c r="A45" s="278" t="s">
        <v>455</v>
      </c>
      <c r="B45" s="278" t="s">
        <v>723</v>
      </c>
      <c r="C45" s="276" t="s">
        <v>724</v>
      </c>
      <c r="D45" t="s">
        <v>725</v>
      </c>
      <c r="E45" t="str">
        <f t="shared" si="0"/>
        <v>CG</v>
      </c>
      <c r="F45" s="348"/>
      <c r="G45" t="s">
        <v>726</v>
      </c>
      <c r="I45" t="s">
        <v>727</v>
      </c>
      <c r="Q45">
        <v>2043</v>
      </c>
      <c r="X45" t="s">
        <v>728</v>
      </c>
      <c r="Y45" t="s">
        <v>729</v>
      </c>
    </row>
    <row r="46" spans="1:25" x14ac:dyDescent="0.3">
      <c r="A46" s="279" t="s">
        <v>730</v>
      </c>
      <c r="B46" s="275" t="s">
        <v>731</v>
      </c>
      <c r="C46" s="276" t="s">
        <v>732</v>
      </c>
      <c r="D46" t="s">
        <v>733</v>
      </c>
      <c r="E46" t="str">
        <f t="shared" si="0"/>
        <v>CH</v>
      </c>
      <c r="F46" s="348"/>
      <c r="G46" t="s">
        <v>734</v>
      </c>
      <c r="I46" t="s">
        <v>735</v>
      </c>
      <c r="Q46">
        <v>2044</v>
      </c>
      <c r="X46" t="s">
        <v>736</v>
      </c>
      <c r="Y46" t="s">
        <v>737</v>
      </c>
    </row>
    <row r="47" spans="1:25" x14ac:dyDescent="0.3">
      <c r="A47" s="278" t="s">
        <v>465</v>
      </c>
      <c r="B47" s="278" t="s">
        <v>738</v>
      </c>
      <c r="C47" s="276" t="s">
        <v>739</v>
      </c>
      <c r="D47" t="s">
        <v>740</v>
      </c>
      <c r="E47" t="str">
        <f t="shared" si="0"/>
        <v>CI</v>
      </c>
      <c r="F47" s="82"/>
      <c r="G47" t="s">
        <v>741</v>
      </c>
      <c r="I47" t="s">
        <v>742</v>
      </c>
      <c r="Q47">
        <v>2045</v>
      </c>
      <c r="X47" t="s">
        <v>743</v>
      </c>
      <c r="Y47" t="s">
        <v>744</v>
      </c>
    </row>
    <row r="48" spans="1:25" x14ac:dyDescent="0.3">
      <c r="A48" s="279" t="s">
        <v>745</v>
      </c>
      <c r="B48" s="275" t="s">
        <v>746</v>
      </c>
      <c r="C48" s="276" t="s">
        <v>747</v>
      </c>
      <c r="D48" t="s">
        <v>748</v>
      </c>
      <c r="E48" t="str">
        <f t="shared" si="0"/>
        <v>CK</v>
      </c>
      <c r="F48" s="348"/>
      <c r="G48" t="s">
        <v>749</v>
      </c>
      <c r="I48" t="s">
        <v>750</v>
      </c>
      <c r="Q48">
        <v>2046</v>
      </c>
      <c r="X48" t="s">
        <v>751</v>
      </c>
      <c r="Y48" t="s">
        <v>752</v>
      </c>
    </row>
    <row r="49" spans="1:25" x14ac:dyDescent="0.3">
      <c r="A49" s="278" t="s">
        <v>475</v>
      </c>
      <c r="B49" s="278" t="s">
        <v>753</v>
      </c>
      <c r="C49" s="276" t="s">
        <v>754</v>
      </c>
      <c r="D49" t="s">
        <v>755</v>
      </c>
      <c r="E49" t="str">
        <f t="shared" si="0"/>
        <v>CL</v>
      </c>
      <c r="F49" s="347"/>
      <c r="G49" t="s">
        <v>756</v>
      </c>
      <c r="I49" t="s">
        <v>757</v>
      </c>
      <c r="Q49">
        <v>2047</v>
      </c>
      <c r="X49" t="s">
        <v>758</v>
      </c>
      <c r="Y49" t="s">
        <v>759</v>
      </c>
    </row>
    <row r="50" spans="1:25" x14ac:dyDescent="0.3">
      <c r="A50" s="279" t="s">
        <v>760</v>
      </c>
      <c r="B50" s="275" t="s">
        <v>761</v>
      </c>
      <c r="C50" s="276" t="s">
        <v>762</v>
      </c>
      <c r="D50" t="s">
        <v>763</v>
      </c>
      <c r="E50" t="str">
        <f t="shared" si="0"/>
        <v>CM</v>
      </c>
      <c r="F50" s="348"/>
      <c r="G50" t="s">
        <v>764</v>
      </c>
      <c r="I50" t="s">
        <v>765</v>
      </c>
      <c r="Q50">
        <v>2048</v>
      </c>
      <c r="X50" t="s">
        <v>766</v>
      </c>
      <c r="Y50" t="s">
        <v>767</v>
      </c>
    </row>
    <row r="51" spans="1:25" x14ac:dyDescent="0.3">
      <c r="A51" s="275" t="s">
        <v>484</v>
      </c>
      <c r="B51" s="278" t="s">
        <v>768</v>
      </c>
      <c r="C51" s="276" t="s">
        <v>769</v>
      </c>
      <c r="D51" t="s">
        <v>770</v>
      </c>
      <c r="E51" t="str">
        <f t="shared" si="0"/>
        <v>CN</v>
      </c>
      <c r="F51" s="348"/>
      <c r="G51" t="s">
        <v>771</v>
      </c>
      <c r="I51" t="s">
        <v>772</v>
      </c>
      <c r="Q51">
        <v>2049</v>
      </c>
      <c r="X51" t="s">
        <v>773</v>
      </c>
      <c r="Y51" t="s">
        <v>774</v>
      </c>
    </row>
    <row r="52" spans="1:25" x14ac:dyDescent="0.3">
      <c r="A52" s="278" t="s">
        <v>493</v>
      </c>
      <c r="B52" s="278" t="s">
        <v>775</v>
      </c>
      <c r="C52" s="276" t="s">
        <v>776</v>
      </c>
      <c r="D52" t="s">
        <v>777</v>
      </c>
      <c r="E52" t="str">
        <f t="shared" si="0"/>
        <v>CO</v>
      </c>
      <c r="F52" s="348"/>
      <c r="G52" t="s">
        <v>778</v>
      </c>
      <c r="I52" t="s">
        <v>779</v>
      </c>
      <c r="Q52">
        <v>2050</v>
      </c>
      <c r="X52" t="s">
        <v>780</v>
      </c>
      <c r="Y52" t="s">
        <v>781</v>
      </c>
    </row>
    <row r="53" spans="1:25" x14ac:dyDescent="0.3">
      <c r="A53" s="279" t="s">
        <v>782</v>
      </c>
      <c r="B53" s="278" t="s">
        <v>783</v>
      </c>
      <c r="C53" s="276" t="s">
        <v>784</v>
      </c>
      <c r="D53" t="s">
        <v>785</v>
      </c>
      <c r="E53" t="str">
        <f t="shared" si="0"/>
        <v>CR</v>
      </c>
      <c r="F53" s="82"/>
      <c r="G53" t="s">
        <v>786</v>
      </c>
      <c r="I53" t="s">
        <v>787</v>
      </c>
      <c r="Q53">
        <v>2051</v>
      </c>
      <c r="X53" t="s">
        <v>788</v>
      </c>
      <c r="Y53" t="s">
        <v>789</v>
      </c>
    </row>
    <row r="54" spans="1:25" x14ac:dyDescent="0.3">
      <c r="A54" s="279" t="s">
        <v>790</v>
      </c>
      <c r="B54" s="278" t="s">
        <v>791</v>
      </c>
      <c r="C54" s="276" t="s">
        <v>792</v>
      </c>
      <c r="D54" t="s">
        <v>793</v>
      </c>
      <c r="E54" t="str">
        <f t="shared" si="0"/>
        <v>CS</v>
      </c>
      <c r="F54" s="348"/>
      <c r="G54" t="s">
        <v>794</v>
      </c>
      <c r="I54" t="s">
        <v>795</v>
      </c>
      <c r="Q54">
        <v>2052</v>
      </c>
      <c r="X54" t="s">
        <v>796</v>
      </c>
      <c r="Y54" t="s">
        <v>797</v>
      </c>
    </row>
    <row r="55" spans="1:25" x14ac:dyDescent="0.3">
      <c r="A55" s="278" t="s">
        <v>502</v>
      </c>
      <c r="B55" s="275" t="s">
        <v>798</v>
      </c>
      <c r="C55" s="276" t="s">
        <v>799</v>
      </c>
      <c r="D55" t="s">
        <v>800</v>
      </c>
      <c r="E55" t="str">
        <f t="shared" si="0"/>
        <v>CU</v>
      </c>
      <c r="F55" s="348"/>
      <c r="G55" t="s">
        <v>801</v>
      </c>
      <c r="I55" t="s">
        <v>802</v>
      </c>
      <c r="Q55">
        <v>2053</v>
      </c>
      <c r="X55" t="s">
        <v>803</v>
      </c>
      <c r="Y55" t="s">
        <v>804</v>
      </c>
    </row>
    <row r="56" spans="1:25" x14ac:dyDescent="0.3">
      <c r="A56" s="279" t="s">
        <v>805</v>
      </c>
      <c r="B56" s="278" t="s">
        <v>806</v>
      </c>
      <c r="C56" s="276" t="s">
        <v>807</v>
      </c>
      <c r="D56" t="s">
        <v>808</v>
      </c>
      <c r="E56" t="str">
        <f t="shared" si="0"/>
        <v>CV</v>
      </c>
      <c r="F56" s="348"/>
      <c r="G56" t="s">
        <v>809</v>
      </c>
      <c r="I56" t="s">
        <v>810</v>
      </c>
      <c r="Q56">
        <v>2054</v>
      </c>
      <c r="X56" t="s">
        <v>811</v>
      </c>
      <c r="Y56" t="s">
        <v>812</v>
      </c>
    </row>
    <row r="57" spans="1:25" x14ac:dyDescent="0.3">
      <c r="A57" s="279" t="s">
        <v>813</v>
      </c>
      <c r="B57" s="278" t="s">
        <v>814</v>
      </c>
      <c r="C57" s="276" t="s">
        <v>815</v>
      </c>
      <c r="D57" t="s">
        <v>816</v>
      </c>
      <c r="E57" t="str">
        <f t="shared" si="0"/>
        <v>CW</v>
      </c>
      <c r="F57" s="348"/>
      <c r="G57" t="s">
        <v>817</v>
      </c>
      <c r="I57" t="s">
        <v>818</v>
      </c>
      <c r="Q57">
        <v>2055</v>
      </c>
      <c r="X57" t="s">
        <v>819</v>
      </c>
      <c r="Y57" t="s">
        <v>820</v>
      </c>
    </row>
    <row r="58" spans="1:25" x14ac:dyDescent="0.3">
      <c r="A58" s="278" t="s">
        <v>511</v>
      </c>
      <c r="B58" s="275" t="s">
        <v>821</v>
      </c>
      <c r="C58" s="276" t="s">
        <v>822</v>
      </c>
      <c r="D58" t="s">
        <v>823</v>
      </c>
      <c r="E58" t="str">
        <f t="shared" si="0"/>
        <v>CX</v>
      </c>
      <c r="F58" s="348"/>
      <c r="G58" t="s">
        <v>824</v>
      </c>
      <c r="I58" t="s">
        <v>825</v>
      </c>
      <c r="Q58">
        <v>2056</v>
      </c>
      <c r="X58" t="s">
        <v>826</v>
      </c>
      <c r="Y58" t="s">
        <v>827</v>
      </c>
    </row>
    <row r="59" spans="1:25" x14ac:dyDescent="0.3">
      <c r="A59" s="279" t="s">
        <v>828</v>
      </c>
      <c r="B59" s="278" t="s">
        <v>829</v>
      </c>
      <c r="C59" s="276" t="s">
        <v>830</v>
      </c>
      <c r="D59" t="s">
        <v>831</v>
      </c>
      <c r="E59" t="str">
        <f t="shared" si="0"/>
        <v>CY</v>
      </c>
      <c r="F59" s="348"/>
      <c r="G59" t="s">
        <v>832</v>
      </c>
      <c r="I59" t="s">
        <v>833</v>
      </c>
      <c r="Q59">
        <v>2057</v>
      </c>
      <c r="X59" t="s">
        <v>834</v>
      </c>
      <c r="Y59" t="s">
        <v>835</v>
      </c>
    </row>
    <row r="60" spans="1:25" x14ac:dyDescent="0.3">
      <c r="A60" s="276" t="s">
        <v>648</v>
      </c>
      <c r="B60" s="278" t="s">
        <v>836</v>
      </c>
      <c r="C60" s="276" t="s">
        <v>837</v>
      </c>
      <c r="D60" t="s">
        <v>838</v>
      </c>
      <c r="E60" t="str">
        <f t="shared" si="0"/>
        <v>CZ</v>
      </c>
      <c r="F60" s="348"/>
      <c r="G60" t="s">
        <v>839</v>
      </c>
      <c r="I60" t="s">
        <v>840</v>
      </c>
      <c r="Q60">
        <v>2058</v>
      </c>
      <c r="X60" t="s">
        <v>841</v>
      </c>
      <c r="Y60" t="s">
        <v>842</v>
      </c>
    </row>
    <row r="61" spans="1:25" x14ac:dyDescent="0.3">
      <c r="A61" s="275" t="s">
        <v>528</v>
      </c>
      <c r="B61" s="275" t="s">
        <v>843</v>
      </c>
      <c r="C61" s="276" t="s">
        <v>844</v>
      </c>
      <c r="D61" t="s">
        <v>845</v>
      </c>
      <c r="E61" t="str">
        <f t="shared" si="0"/>
        <v>DE</v>
      </c>
      <c r="F61" s="82"/>
      <c r="G61" t="s">
        <v>846</v>
      </c>
      <c r="I61" t="s">
        <v>847</v>
      </c>
      <c r="Q61">
        <v>2059</v>
      </c>
      <c r="X61" t="s">
        <v>848</v>
      </c>
      <c r="Y61" t="s">
        <v>849</v>
      </c>
    </row>
    <row r="62" spans="1:25" x14ac:dyDescent="0.3">
      <c r="A62" s="278" t="s">
        <v>537</v>
      </c>
      <c r="B62" s="278" t="s">
        <v>850</v>
      </c>
      <c r="C62" s="276" t="s">
        <v>851</v>
      </c>
      <c r="D62" t="s">
        <v>852</v>
      </c>
      <c r="E62" t="str">
        <f t="shared" si="0"/>
        <v>DJ</v>
      </c>
      <c r="F62" s="348"/>
      <c r="G62" t="s">
        <v>853</v>
      </c>
      <c r="I62" t="s">
        <v>854</v>
      </c>
      <c r="Q62">
        <v>2060</v>
      </c>
      <c r="X62" t="s">
        <v>855</v>
      </c>
      <c r="Y62" t="s">
        <v>856</v>
      </c>
    </row>
    <row r="63" spans="1:25" x14ac:dyDescent="0.3">
      <c r="A63" s="279" t="s">
        <v>857</v>
      </c>
      <c r="B63" s="278" t="s">
        <v>858</v>
      </c>
      <c r="C63" s="276" t="s">
        <v>859</v>
      </c>
      <c r="D63" t="s">
        <v>860</v>
      </c>
      <c r="E63" t="str">
        <f t="shared" si="0"/>
        <v>DK</v>
      </c>
      <c r="F63" s="348"/>
      <c r="G63" t="s">
        <v>861</v>
      </c>
      <c r="I63" t="s">
        <v>862</v>
      </c>
      <c r="Q63">
        <v>2061</v>
      </c>
      <c r="X63" t="s">
        <v>863</v>
      </c>
      <c r="Y63" t="s">
        <v>864</v>
      </c>
    </row>
    <row r="64" spans="1:25" x14ac:dyDescent="0.3">
      <c r="A64" s="278" t="s">
        <v>546</v>
      </c>
      <c r="B64" s="275" t="s">
        <v>865</v>
      </c>
      <c r="C64" s="276" t="s">
        <v>866</v>
      </c>
      <c r="D64" t="s">
        <v>867</v>
      </c>
      <c r="E64" t="str">
        <f t="shared" si="0"/>
        <v>DM</v>
      </c>
      <c r="F64" s="348"/>
      <c r="G64" t="s">
        <v>868</v>
      </c>
      <c r="I64" t="s">
        <v>869</v>
      </c>
      <c r="Q64">
        <v>2062</v>
      </c>
      <c r="X64" t="s">
        <v>870</v>
      </c>
      <c r="Y64" t="s">
        <v>871</v>
      </c>
    </row>
    <row r="65" spans="1:25" x14ac:dyDescent="0.3">
      <c r="A65" s="279" t="s">
        <v>872</v>
      </c>
      <c r="B65" s="278" t="s">
        <v>873</v>
      </c>
      <c r="C65" s="276" t="s">
        <v>874</v>
      </c>
      <c r="D65" t="s">
        <v>875</v>
      </c>
      <c r="E65" t="str">
        <f t="shared" si="0"/>
        <v>DO</v>
      </c>
      <c r="F65" s="348"/>
      <c r="G65" t="s">
        <v>876</v>
      </c>
      <c r="I65" t="s">
        <v>877</v>
      </c>
      <c r="Q65">
        <v>2063</v>
      </c>
      <c r="X65" t="s">
        <v>878</v>
      </c>
      <c r="Y65" t="s">
        <v>879</v>
      </c>
    </row>
    <row r="66" spans="1:25" x14ac:dyDescent="0.3">
      <c r="A66" s="275" t="s">
        <v>554</v>
      </c>
      <c r="B66" s="278" t="s">
        <v>880</v>
      </c>
      <c r="C66" s="276" t="s">
        <v>881</v>
      </c>
      <c r="D66" t="s">
        <v>882</v>
      </c>
      <c r="E66" t="str">
        <f t="shared" si="0"/>
        <v>DZ</v>
      </c>
      <c r="F66" s="82"/>
      <c r="G66" t="s">
        <v>883</v>
      </c>
      <c r="I66" t="s">
        <v>884</v>
      </c>
      <c r="Q66">
        <v>2064</v>
      </c>
      <c r="X66" t="s">
        <v>885</v>
      </c>
      <c r="Y66" t="s">
        <v>886</v>
      </c>
    </row>
    <row r="67" spans="1:25" x14ac:dyDescent="0.3">
      <c r="A67" s="278" t="s">
        <v>562</v>
      </c>
      <c r="B67" s="275" t="s">
        <v>887</v>
      </c>
      <c r="C67" s="276" t="s">
        <v>888</v>
      </c>
      <c r="D67" t="s">
        <v>889</v>
      </c>
      <c r="E67" t="str">
        <f t="shared" ref="E67:E130" si="1">RIGHT(D67,2)</f>
        <v>EC</v>
      </c>
      <c r="F67" s="348"/>
      <c r="G67" t="s">
        <v>890</v>
      </c>
      <c r="I67" t="s">
        <v>891</v>
      </c>
      <c r="Q67">
        <v>2065</v>
      </c>
      <c r="X67" t="s">
        <v>892</v>
      </c>
      <c r="Y67" t="s">
        <v>893</v>
      </c>
    </row>
    <row r="68" spans="1:25" x14ac:dyDescent="0.3">
      <c r="A68" s="279" t="s">
        <v>894</v>
      </c>
      <c r="B68" s="278" t="s">
        <v>895</v>
      </c>
      <c r="C68" s="276" t="s">
        <v>896</v>
      </c>
      <c r="D68" t="s">
        <v>897</v>
      </c>
      <c r="E68" t="str">
        <f t="shared" si="1"/>
        <v>EE</v>
      </c>
      <c r="F68" s="348"/>
      <c r="G68" t="s">
        <v>898</v>
      </c>
      <c r="I68" t="s">
        <v>899</v>
      </c>
      <c r="Q68">
        <v>2066</v>
      </c>
      <c r="X68" t="s">
        <v>900</v>
      </c>
      <c r="Y68" t="s">
        <v>901</v>
      </c>
    </row>
    <row r="69" spans="1:25" x14ac:dyDescent="0.3">
      <c r="A69" s="278" t="s">
        <v>569</v>
      </c>
      <c r="B69" s="278" t="s">
        <v>902</v>
      </c>
      <c r="C69" s="276" t="s">
        <v>903</v>
      </c>
      <c r="D69" t="s">
        <v>904</v>
      </c>
      <c r="E69" t="str">
        <f t="shared" si="1"/>
        <v>EG</v>
      </c>
      <c r="F69" s="347"/>
      <c r="G69" t="s">
        <v>905</v>
      </c>
      <c r="I69" t="s">
        <v>906</v>
      </c>
      <c r="Q69">
        <v>2067</v>
      </c>
      <c r="X69" t="s">
        <v>907</v>
      </c>
      <c r="Y69" t="s">
        <v>908</v>
      </c>
    </row>
    <row r="70" spans="1:25" x14ac:dyDescent="0.3">
      <c r="A70" s="279" t="s">
        <v>909</v>
      </c>
      <c r="B70" s="275" t="s">
        <v>910</v>
      </c>
      <c r="C70" s="276" t="s">
        <v>911</v>
      </c>
      <c r="D70" t="s">
        <v>912</v>
      </c>
      <c r="E70" t="str">
        <f t="shared" si="1"/>
        <v>EH</v>
      </c>
      <c r="F70" s="347"/>
      <c r="G70" t="s">
        <v>913</v>
      </c>
      <c r="I70" t="s">
        <v>914</v>
      </c>
      <c r="Q70">
        <v>2068</v>
      </c>
      <c r="X70" t="s">
        <v>915</v>
      </c>
      <c r="Y70" t="s">
        <v>916</v>
      </c>
    </row>
    <row r="71" spans="1:25" x14ac:dyDescent="0.3">
      <c r="A71" s="275" t="s">
        <v>577</v>
      </c>
      <c r="B71" s="278" t="s">
        <v>917</v>
      </c>
      <c r="C71" s="276" t="s">
        <v>918</v>
      </c>
      <c r="D71" t="s">
        <v>919</v>
      </c>
      <c r="E71" t="str">
        <f t="shared" si="1"/>
        <v>ER</v>
      </c>
      <c r="F71" s="347"/>
      <c r="G71" t="s">
        <v>920</v>
      </c>
      <c r="I71" t="s">
        <v>921</v>
      </c>
      <c r="Q71">
        <v>2069</v>
      </c>
      <c r="X71" t="s">
        <v>922</v>
      </c>
      <c r="Y71" t="s">
        <v>923</v>
      </c>
    </row>
    <row r="72" spans="1:25" x14ac:dyDescent="0.3">
      <c r="A72" s="278" t="s">
        <v>585</v>
      </c>
      <c r="B72" s="278" t="s">
        <v>924</v>
      </c>
      <c r="C72" s="276" t="s">
        <v>925</v>
      </c>
      <c r="D72" t="s">
        <v>926</v>
      </c>
      <c r="E72" t="str">
        <f t="shared" si="1"/>
        <v>ES</v>
      </c>
      <c r="F72" s="347"/>
      <c r="G72" t="s">
        <v>927</v>
      </c>
      <c r="I72" t="s">
        <v>928</v>
      </c>
      <c r="Q72">
        <v>2070</v>
      </c>
      <c r="X72" t="s">
        <v>929</v>
      </c>
      <c r="Y72" t="s">
        <v>930</v>
      </c>
    </row>
    <row r="73" spans="1:25" x14ac:dyDescent="0.3">
      <c r="A73" s="279" t="s">
        <v>931</v>
      </c>
      <c r="B73" s="275" t="s">
        <v>932</v>
      </c>
      <c r="C73" s="276" t="s">
        <v>933</v>
      </c>
      <c r="D73" t="s">
        <v>934</v>
      </c>
      <c r="E73" t="str">
        <f t="shared" si="1"/>
        <v>ET</v>
      </c>
      <c r="F73" s="347"/>
      <c r="G73" t="s">
        <v>935</v>
      </c>
      <c r="I73" t="s">
        <v>936</v>
      </c>
      <c r="Q73">
        <v>2071</v>
      </c>
      <c r="X73" t="s">
        <v>937</v>
      </c>
      <c r="Y73" t="s">
        <v>938</v>
      </c>
    </row>
    <row r="74" spans="1:25" x14ac:dyDescent="0.3">
      <c r="A74" s="278" t="s">
        <v>593</v>
      </c>
      <c r="B74" s="278" t="s">
        <v>939</v>
      </c>
      <c r="C74" s="276" t="s">
        <v>940</v>
      </c>
      <c r="D74" t="s">
        <v>941</v>
      </c>
      <c r="E74" t="str">
        <f t="shared" si="1"/>
        <v>FI</v>
      </c>
      <c r="F74" s="347"/>
      <c r="G74" t="s">
        <v>942</v>
      </c>
      <c r="I74" t="s">
        <v>943</v>
      </c>
      <c r="Q74">
        <v>2072</v>
      </c>
      <c r="X74" t="s">
        <v>944</v>
      </c>
      <c r="Y74" t="s">
        <v>945</v>
      </c>
    </row>
    <row r="75" spans="1:25" x14ac:dyDescent="0.3">
      <c r="A75" s="279" t="s">
        <v>946</v>
      </c>
      <c r="B75" s="278" t="s">
        <v>947</v>
      </c>
      <c r="C75" s="276" t="s">
        <v>948</v>
      </c>
      <c r="D75" t="s">
        <v>949</v>
      </c>
      <c r="E75" t="str">
        <f t="shared" si="1"/>
        <v>FJ</v>
      </c>
      <c r="F75" s="348"/>
      <c r="G75" t="s">
        <v>950</v>
      </c>
      <c r="I75" t="s">
        <v>951</v>
      </c>
      <c r="Q75">
        <v>2073</v>
      </c>
      <c r="X75" t="s">
        <v>952</v>
      </c>
      <c r="Y75" t="s">
        <v>953</v>
      </c>
    </row>
    <row r="76" spans="1:25" x14ac:dyDescent="0.3">
      <c r="A76" s="279" t="s">
        <v>954</v>
      </c>
      <c r="B76" s="278" t="s">
        <v>955</v>
      </c>
      <c r="C76" s="276" t="s">
        <v>956</v>
      </c>
      <c r="D76" t="s">
        <v>957</v>
      </c>
      <c r="E76" t="str">
        <f t="shared" si="1"/>
        <v>FK</v>
      </c>
      <c r="F76" s="348"/>
      <c r="G76" t="s">
        <v>958</v>
      </c>
      <c r="I76" t="s">
        <v>959</v>
      </c>
      <c r="Q76">
        <v>2074</v>
      </c>
      <c r="X76" t="s">
        <v>960</v>
      </c>
      <c r="Y76" t="s">
        <v>961</v>
      </c>
    </row>
    <row r="77" spans="1:25" x14ac:dyDescent="0.3">
      <c r="A77" s="275" t="s">
        <v>601</v>
      </c>
      <c r="B77" s="278" t="s">
        <v>962</v>
      </c>
      <c r="C77" s="276" t="s">
        <v>963</v>
      </c>
      <c r="D77" t="s">
        <v>964</v>
      </c>
      <c r="E77" t="str">
        <f t="shared" si="1"/>
        <v>FM</v>
      </c>
      <c r="F77" s="348"/>
      <c r="G77" t="s">
        <v>965</v>
      </c>
      <c r="I77" t="s">
        <v>966</v>
      </c>
      <c r="Q77">
        <v>2075</v>
      </c>
      <c r="X77" t="s">
        <v>967</v>
      </c>
      <c r="Y77" t="s">
        <v>968</v>
      </c>
    </row>
    <row r="78" spans="1:25" x14ac:dyDescent="0.3">
      <c r="A78" s="278" t="s">
        <v>609</v>
      </c>
      <c r="B78" s="278" t="s">
        <v>969</v>
      </c>
      <c r="C78" s="276" t="s">
        <v>970</v>
      </c>
      <c r="D78" t="s">
        <v>971</v>
      </c>
      <c r="E78" t="str">
        <f t="shared" si="1"/>
        <v>FO</v>
      </c>
      <c r="F78" s="348"/>
      <c r="G78" t="s">
        <v>972</v>
      </c>
      <c r="I78" t="s">
        <v>973</v>
      </c>
      <c r="Q78">
        <v>2076</v>
      </c>
      <c r="X78" t="s">
        <v>974</v>
      </c>
      <c r="Y78" t="s">
        <v>975</v>
      </c>
    </row>
    <row r="79" spans="1:25" x14ac:dyDescent="0.3">
      <c r="A79" s="279" t="s">
        <v>976</v>
      </c>
      <c r="B79" s="278" t="s">
        <v>977</v>
      </c>
      <c r="C79" s="276" t="s">
        <v>978</v>
      </c>
      <c r="D79" t="s">
        <v>979</v>
      </c>
      <c r="E79" t="str">
        <f t="shared" si="1"/>
        <v>FR</v>
      </c>
      <c r="F79" s="348"/>
      <c r="G79" t="s">
        <v>980</v>
      </c>
      <c r="I79" t="s">
        <v>981</v>
      </c>
      <c r="Q79">
        <v>2077</v>
      </c>
      <c r="X79" t="s">
        <v>982</v>
      </c>
      <c r="Y79" t="s">
        <v>983</v>
      </c>
    </row>
    <row r="80" spans="1:25" x14ac:dyDescent="0.3">
      <c r="A80" s="279" t="s">
        <v>984</v>
      </c>
      <c r="B80" s="275" t="s">
        <v>985</v>
      </c>
      <c r="C80" s="276" t="s">
        <v>986</v>
      </c>
      <c r="D80" t="s">
        <v>987</v>
      </c>
      <c r="E80" t="str">
        <f t="shared" si="1"/>
        <v>GA</v>
      </c>
      <c r="F80" s="348"/>
      <c r="G80" t="s">
        <v>988</v>
      </c>
      <c r="I80" t="s">
        <v>989</v>
      </c>
      <c r="Q80">
        <v>2078</v>
      </c>
      <c r="X80" t="s">
        <v>990</v>
      </c>
      <c r="Y80" t="s">
        <v>991</v>
      </c>
    </row>
    <row r="81" spans="1:25" x14ac:dyDescent="0.3">
      <c r="A81" s="278" t="s">
        <v>617</v>
      </c>
      <c r="B81" s="278" t="s">
        <v>992</v>
      </c>
      <c r="C81" s="276" t="s">
        <v>993</v>
      </c>
      <c r="D81" t="s">
        <v>994</v>
      </c>
      <c r="E81" t="str">
        <f t="shared" si="1"/>
        <v>GB</v>
      </c>
      <c r="F81" s="347"/>
      <c r="G81" t="s">
        <v>995</v>
      </c>
      <c r="I81" t="s">
        <v>996</v>
      </c>
      <c r="Q81">
        <v>2079</v>
      </c>
      <c r="X81" t="s">
        <v>997</v>
      </c>
      <c r="Y81" t="s">
        <v>998</v>
      </c>
    </row>
    <row r="82" spans="1:25" x14ac:dyDescent="0.3">
      <c r="A82" s="279" t="s">
        <v>999</v>
      </c>
      <c r="B82" s="278" t="s">
        <v>1000</v>
      </c>
      <c r="C82" s="276" t="s">
        <v>1001</v>
      </c>
      <c r="D82" t="s">
        <v>1002</v>
      </c>
      <c r="E82" t="str">
        <f t="shared" si="1"/>
        <v>GD</v>
      </c>
      <c r="F82" s="347"/>
      <c r="G82" t="s">
        <v>1003</v>
      </c>
      <c r="I82" t="s">
        <v>1004</v>
      </c>
      <c r="Q82">
        <v>2080</v>
      </c>
      <c r="X82" t="s">
        <v>1005</v>
      </c>
      <c r="Y82" t="s">
        <v>1006</v>
      </c>
    </row>
    <row r="83" spans="1:25" x14ac:dyDescent="0.3">
      <c r="A83" s="279" t="s">
        <v>1007</v>
      </c>
      <c r="B83" s="275" t="s">
        <v>1008</v>
      </c>
      <c r="C83" s="276" t="s">
        <v>1009</v>
      </c>
      <c r="D83" t="s">
        <v>1010</v>
      </c>
      <c r="E83" t="str">
        <f t="shared" si="1"/>
        <v>GE</v>
      </c>
      <c r="F83" s="347"/>
      <c r="G83" t="s">
        <v>1011</v>
      </c>
      <c r="I83" t="s">
        <v>1012</v>
      </c>
      <c r="Q83">
        <v>2081</v>
      </c>
      <c r="X83" t="s">
        <v>1013</v>
      </c>
      <c r="Y83" t="s">
        <v>1014</v>
      </c>
    </row>
    <row r="84" spans="1:25" x14ac:dyDescent="0.3">
      <c r="A84" s="279" t="s">
        <v>1015</v>
      </c>
      <c r="B84" s="278" t="s">
        <v>1016</v>
      </c>
      <c r="C84" s="276" t="s">
        <v>1017</v>
      </c>
      <c r="D84" t="s">
        <v>1018</v>
      </c>
      <c r="E84" t="str">
        <f t="shared" si="1"/>
        <v>GF</v>
      </c>
      <c r="F84" s="348"/>
      <c r="G84" t="s">
        <v>1019</v>
      </c>
      <c r="I84" t="s">
        <v>1020</v>
      </c>
      <c r="Q84">
        <v>2082</v>
      </c>
      <c r="X84" t="s">
        <v>1021</v>
      </c>
      <c r="Y84" t="s">
        <v>1022</v>
      </c>
    </row>
    <row r="85" spans="1:25" x14ac:dyDescent="0.3">
      <c r="A85" s="279" t="s">
        <v>1023</v>
      </c>
      <c r="B85" s="278" t="s">
        <v>1024</v>
      </c>
      <c r="C85" s="276" t="s">
        <v>1025</v>
      </c>
      <c r="D85" t="s">
        <v>1026</v>
      </c>
      <c r="E85" t="str">
        <f t="shared" si="1"/>
        <v>GG</v>
      </c>
      <c r="F85" s="348"/>
      <c r="G85" t="s">
        <v>1027</v>
      </c>
      <c r="I85" t="s">
        <v>1028</v>
      </c>
      <c r="Q85">
        <v>2083</v>
      </c>
      <c r="X85" t="s">
        <v>1029</v>
      </c>
      <c r="Y85" t="s">
        <v>1030</v>
      </c>
    </row>
    <row r="86" spans="1:25" x14ac:dyDescent="0.3">
      <c r="A86" s="275" t="s">
        <v>625</v>
      </c>
      <c r="B86" s="275" t="s">
        <v>1031</v>
      </c>
      <c r="C86" s="276" t="s">
        <v>1032</v>
      </c>
      <c r="D86" t="s">
        <v>1033</v>
      </c>
      <c r="E86" t="str">
        <f t="shared" si="1"/>
        <v>GH</v>
      </c>
      <c r="F86" s="82"/>
      <c r="G86" t="s">
        <v>1034</v>
      </c>
      <c r="I86" t="s">
        <v>1035</v>
      </c>
      <c r="Q86">
        <v>2084</v>
      </c>
      <c r="X86" t="s">
        <v>1036</v>
      </c>
      <c r="Y86" t="s">
        <v>1037</v>
      </c>
    </row>
    <row r="87" spans="1:25" x14ac:dyDescent="0.3">
      <c r="A87" s="278" t="s">
        <v>633</v>
      </c>
      <c r="B87" s="278" t="s">
        <v>1038</v>
      </c>
      <c r="C87" s="276" t="s">
        <v>1039</v>
      </c>
      <c r="D87" t="s">
        <v>1040</v>
      </c>
      <c r="E87" t="str">
        <f t="shared" si="1"/>
        <v>GI</v>
      </c>
      <c r="F87" s="348"/>
      <c r="G87" t="s">
        <v>1041</v>
      </c>
      <c r="I87" t="s">
        <v>1042</v>
      </c>
      <c r="Q87">
        <v>2085</v>
      </c>
      <c r="X87" t="s">
        <v>1043</v>
      </c>
      <c r="Y87" t="s">
        <v>1044</v>
      </c>
    </row>
    <row r="88" spans="1:25" x14ac:dyDescent="0.3">
      <c r="A88" s="279" t="s">
        <v>1045</v>
      </c>
      <c r="B88" s="278" t="s">
        <v>1046</v>
      </c>
      <c r="C88" s="276" t="s">
        <v>1047</v>
      </c>
      <c r="D88" t="s">
        <v>1048</v>
      </c>
      <c r="E88" t="str">
        <f t="shared" si="1"/>
        <v>GL</v>
      </c>
      <c r="F88" s="348"/>
      <c r="G88" t="s">
        <v>1049</v>
      </c>
      <c r="I88" t="s">
        <v>1050</v>
      </c>
      <c r="Q88">
        <v>2086</v>
      </c>
      <c r="X88" t="s">
        <v>1051</v>
      </c>
      <c r="Y88" t="s">
        <v>1052</v>
      </c>
    </row>
    <row r="89" spans="1:25" x14ac:dyDescent="0.3">
      <c r="A89" s="278" t="s">
        <v>640</v>
      </c>
      <c r="B89" s="278" t="s">
        <v>1053</v>
      </c>
      <c r="C89" s="276" t="s">
        <v>1054</v>
      </c>
      <c r="D89" t="s">
        <v>1055</v>
      </c>
      <c r="E89" t="str">
        <f t="shared" si="1"/>
        <v>GM</v>
      </c>
      <c r="F89" s="348"/>
      <c r="G89" t="s">
        <v>1056</v>
      </c>
      <c r="I89" t="s">
        <v>1057</v>
      </c>
      <c r="Q89">
        <v>2087</v>
      </c>
      <c r="X89" t="s">
        <v>1058</v>
      </c>
      <c r="Y89" t="s">
        <v>1059</v>
      </c>
    </row>
    <row r="90" spans="1:25" x14ac:dyDescent="0.3">
      <c r="A90" s="279" t="s">
        <v>1060</v>
      </c>
      <c r="B90" s="278" t="s">
        <v>1061</v>
      </c>
      <c r="C90" s="276" t="s">
        <v>1062</v>
      </c>
      <c r="D90" t="s">
        <v>1063</v>
      </c>
      <c r="E90" t="str">
        <f t="shared" si="1"/>
        <v>GN</v>
      </c>
      <c r="F90" s="348"/>
      <c r="G90" t="s">
        <v>1064</v>
      </c>
      <c r="I90" t="s">
        <v>1065</v>
      </c>
      <c r="Q90">
        <v>2088</v>
      </c>
      <c r="X90" t="s">
        <v>1066</v>
      </c>
      <c r="Y90" t="s">
        <v>1067</v>
      </c>
    </row>
    <row r="91" spans="1:25" x14ac:dyDescent="0.3">
      <c r="A91" s="276" t="s">
        <v>1068</v>
      </c>
      <c r="B91" s="278" t="s">
        <v>1069</v>
      </c>
      <c r="C91" s="276" t="s">
        <v>1070</v>
      </c>
      <c r="D91" t="s">
        <v>1071</v>
      </c>
      <c r="E91" t="str">
        <f t="shared" si="1"/>
        <v>GP</v>
      </c>
      <c r="F91" s="348"/>
      <c r="G91" t="s">
        <v>1072</v>
      </c>
      <c r="I91" t="s">
        <v>1073</v>
      </c>
      <c r="Q91">
        <v>2089</v>
      </c>
      <c r="X91" t="s">
        <v>1074</v>
      </c>
      <c r="Y91" t="s">
        <v>1075</v>
      </c>
    </row>
    <row r="92" spans="1:25" x14ac:dyDescent="0.3">
      <c r="A92" s="275" t="s">
        <v>655</v>
      </c>
      <c r="B92" s="278" t="s">
        <v>1076</v>
      </c>
      <c r="C92" s="276" t="s">
        <v>1077</v>
      </c>
      <c r="D92" t="s">
        <v>1078</v>
      </c>
      <c r="E92" t="str">
        <f t="shared" si="1"/>
        <v>GQ</v>
      </c>
      <c r="F92" s="348"/>
      <c r="G92" t="s">
        <v>1079</v>
      </c>
      <c r="I92" t="s">
        <v>1080</v>
      </c>
      <c r="Q92">
        <v>2090</v>
      </c>
      <c r="X92" t="s">
        <v>1081</v>
      </c>
      <c r="Y92" t="s">
        <v>1082</v>
      </c>
    </row>
    <row r="93" spans="1:25" x14ac:dyDescent="0.3">
      <c r="A93" s="278" t="s">
        <v>663</v>
      </c>
      <c r="B93" s="278" t="s">
        <v>1083</v>
      </c>
      <c r="C93" s="276" t="s">
        <v>1084</v>
      </c>
      <c r="D93" t="s">
        <v>1085</v>
      </c>
      <c r="E93" t="str">
        <f t="shared" si="1"/>
        <v>GR</v>
      </c>
      <c r="F93" s="348"/>
      <c r="G93" t="s">
        <v>1086</v>
      </c>
      <c r="I93" t="s">
        <v>1087</v>
      </c>
      <c r="Q93">
        <v>2091</v>
      </c>
      <c r="X93" t="s">
        <v>1088</v>
      </c>
      <c r="Y93" t="s">
        <v>1089</v>
      </c>
    </row>
    <row r="94" spans="1:25" x14ac:dyDescent="0.3">
      <c r="A94" s="279" t="s">
        <v>1090</v>
      </c>
      <c r="B94" s="278" t="s">
        <v>1091</v>
      </c>
      <c r="C94" s="276" t="s">
        <v>1092</v>
      </c>
      <c r="D94" t="s">
        <v>1093</v>
      </c>
      <c r="E94" t="str">
        <f t="shared" si="1"/>
        <v>GS</v>
      </c>
      <c r="F94" s="348"/>
      <c r="G94" t="s">
        <v>1094</v>
      </c>
      <c r="I94" t="s">
        <v>1095</v>
      </c>
      <c r="Q94">
        <v>2092</v>
      </c>
      <c r="X94" t="s">
        <v>1096</v>
      </c>
      <c r="Y94" t="s">
        <v>1097</v>
      </c>
    </row>
    <row r="95" spans="1:25" x14ac:dyDescent="0.3">
      <c r="A95" s="279" t="s">
        <v>1098</v>
      </c>
      <c r="B95" s="275" t="s">
        <v>1099</v>
      </c>
      <c r="C95" s="276" t="s">
        <v>1100</v>
      </c>
      <c r="D95" t="s">
        <v>1101</v>
      </c>
      <c r="E95" t="str">
        <f t="shared" si="1"/>
        <v>GT</v>
      </c>
      <c r="F95" s="82"/>
      <c r="G95" t="s">
        <v>1102</v>
      </c>
      <c r="I95" t="s">
        <v>1103</v>
      </c>
      <c r="Q95">
        <v>2093</v>
      </c>
      <c r="X95" t="s">
        <v>1104</v>
      </c>
      <c r="Y95" t="s">
        <v>1105</v>
      </c>
    </row>
    <row r="96" spans="1:25" x14ac:dyDescent="0.3">
      <c r="A96" s="279" t="s">
        <v>1106</v>
      </c>
      <c r="B96" s="278" t="s">
        <v>1107</v>
      </c>
      <c r="C96" s="276" t="s">
        <v>1108</v>
      </c>
      <c r="D96" t="s">
        <v>1109</v>
      </c>
      <c r="E96" t="str">
        <f t="shared" si="1"/>
        <v>GU</v>
      </c>
      <c r="F96" s="348"/>
      <c r="I96" t="s">
        <v>1110</v>
      </c>
      <c r="Q96">
        <v>2094</v>
      </c>
      <c r="X96" t="s">
        <v>1111</v>
      </c>
      <c r="Y96" t="s">
        <v>1112</v>
      </c>
    </row>
    <row r="97" spans="1:25" x14ac:dyDescent="0.3">
      <c r="A97" s="278" t="s">
        <v>671</v>
      </c>
      <c r="B97" s="278" t="s">
        <v>1113</v>
      </c>
      <c r="C97" s="276" t="s">
        <v>1114</v>
      </c>
      <c r="D97" t="s">
        <v>1115</v>
      </c>
      <c r="E97" t="str">
        <f t="shared" si="1"/>
        <v>GW</v>
      </c>
      <c r="F97" s="348"/>
      <c r="I97" t="s">
        <v>1116</v>
      </c>
      <c r="Q97">
        <v>2095</v>
      </c>
      <c r="X97" t="s">
        <v>1117</v>
      </c>
      <c r="Y97" t="s">
        <v>1118</v>
      </c>
    </row>
    <row r="98" spans="1:25" x14ac:dyDescent="0.3">
      <c r="A98" s="279" t="s">
        <v>1119</v>
      </c>
      <c r="B98" s="278" t="s">
        <v>1120</v>
      </c>
      <c r="C98" s="276" t="s">
        <v>1121</v>
      </c>
      <c r="D98" t="s">
        <v>1122</v>
      </c>
      <c r="E98" t="str">
        <f t="shared" si="1"/>
        <v>GY</v>
      </c>
      <c r="F98" s="348"/>
      <c r="I98" t="s">
        <v>1123</v>
      </c>
      <c r="Q98">
        <v>2096</v>
      </c>
      <c r="X98" t="s">
        <v>1124</v>
      </c>
      <c r="Y98" t="s">
        <v>1125</v>
      </c>
    </row>
    <row r="99" spans="1:25" x14ac:dyDescent="0.3">
      <c r="A99" s="278" t="s">
        <v>679</v>
      </c>
      <c r="B99" s="278" t="s">
        <v>1126</v>
      </c>
      <c r="C99" s="276" t="s">
        <v>1127</v>
      </c>
      <c r="D99" t="s">
        <v>1128</v>
      </c>
      <c r="E99" t="str">
        <f t="shared" si="1"/>
        <v>HK</v>
      </c>
      <c r="F99" s="82"/>
      <c r="I99" t="s">
        <v>1129</v>
      </c>
      <c r="Q99">
        <v>2097</v>
      </c>
      <c r="X99" t="s">
        <v>1130</v>
      </c>
      <c r="Y99" t="s">
        <v>1131</v>
      </c>
    </row>
    <row r="100" spans="1:25" x14ac:dyDescent="0.3">
      <c r="A100" s="279" t="s">
        <v>1132</v>
      </c>
      <c r="B100" s="278" t="s">
        <v>1133</v>
      </c>
      <c r="C100" s="276" t="s">
        <v>1134</v>
      </c>
      <c r="D100" t="s">
        <v>1135</v>
      </c>
      <c r="E100" t="str">
        <f t="shared" si="1"/>
        <v>HM</v>
      </c>
      <c r="F100" s="348"/>
      <c r="I100" t="s">
        <v>1136</v>
      </c>
      <c r="Q100">
        <v>2098</v>
      </c>
      <c r="X100" t="s">
        <v>1137</v>
      </c>
      <c r="Y100" t="s">
        <v>1138</v>
      </c>
    </row>
    <row r="101" spans="1:25" x14ac:dyDescent="0.3">
      <c r="A101" s="279" t="s">
        <v>1139</v>
      </c>
      <c r="B101" s="275" t="s">
        <v>1140</v>
      </c>
      <c r="C101" s="276" t="s">
        <v>1141</v>
      </c>
      <c r="D101" t="s">
        <v>1142</v>
      </c>
      <c r="E101" t="str">
        <f t="shared" si="1"/>
        <v>HN</v>
      </c>
      <c r="F101" s="348"/>
      <c r="I101" t="s">
        <v>1143</v>
      </c>
      <c r="Q101">
        <v>2099</v>
      </c>
      <c r="X101" t="s">
        <v>1144</v>
      </c>
      <c r="Y101" t="s">
        <v>1145</v>
      </c>
    </row>
    <row r="102" spans="1:25" x14ac:dyDescent="0.3">
      <c r="A102" s="279" t="s">
        <v>1146</v>
      </c>
      <c r="B102" s="278" t="s">
        <v>1147</v>
      </c>
      <c r="C102" s="276" t="s">
        <v>1148</v>
      </c>
      <c r="D102" t="s">
        <v>1149</v>
      </c>
      <c r="E102" t="str">
        <f t="shared" si="1"/>
        <v>HR</v>
      </c>
      <c r="F102" s="348"/>
      <c r="I102" t="s">
        <v>1150</v>
      </c>
      <c r="Q102">
        <v>2100</v>
      </c>
      <c r="X102" t="s">
        <v>1151</v>
      </c>
      <c r="Y102" t="s">
        <v>1152</v>
      </c>
    </row>
    <row r="103" spans="1:25" x14ac:dyDescent="0.3">
      <c r="A103" s="278" t="s">
        <v>686</v>
      </c>
      <c r="B103" s="278" t="s">
        <v>1153</v>
      </c>
      <c r="C103" s="276" t="s">
        <v>1154</v>
      </c>
      <c r="D103" t="s">
        <v>1155</v>
      </c>
      <c r="E103" t="str">
        <f t="shared" si="1"/>
        <v>HT</v>
      </c>
      <c r="F103" s="348"/>
      <c r="I103" t="s">
        <v>1156</v>
      </c>
      <c r="X103" t="s">
        <v>1157</v>
      </c>
      <c r="Y103" t="s">
        <v>1158</v>
      </c>
    </row>
    <row r="104" spans="1:25" x14ac:dyDescent="0.3">
      <c r="A104" s="279" t="s">
        <v>1159</v>
      </c>
      <c r="B104" s="278" t="s">
        <v>1160</v>
      </c>
      <c r="C104" s="276" t="s">
        <v>1161</v>
      </c>
      <c r="D104" t="s">
        <v>1162</v>
      </c>
      <c r="E104" t="str">
        <f t="shared" si="1"/>
        <v>HU</v>
      </c>
      <c r="F104" s="348"/>
      <c r="I104" t="s">
        <v>1163</v>
      </c>
      <c r="X104" t="s">
        <v>1164</v>
      </c>
      <c r="Y104" t="s">
        <v>1165</v>
      </c>
    </row>
    <row r="105" spans="1:25" x14ac:dyDescent="0.3">
      <c r="A105" s="279" t="s">
        <v>1166</v>
      </c>
      <c r="B105" s="278" t="s">
        <v>1167</v>
      </c>
      <c r="C105" s="276" t="s">
        <v>1168</v>
      </c>
      <c r="D105" t="s">
        <v>1169</v>
      </c>
      <c r="E105" t="str">
        <f t="shared" si="1"/>
        <v>ID</v>
      </c>
      <c r="F105" s="348"/>
      <c r="I105" t="s">
        <v>1170</v>
      </c>
      <c r="X105" t="s">
        <v>1171</v>
      </c>
      <c r="Y105" t="s">
        <v>1172</v>
      </c>
    </row>
    <row r="106" spans="1:25" x14ac:dyDescent="0.3">
      <c r="A106" s="278" t="s">
        <v>694</v>
      </c>
      <c r="B106" s="278" t="s">
        <v>1173</v>
      </c>
      <c r="C106" s="276" t="s">
        <v>1174</v>
      </c>
      <c r="D106" t="s">
        <v>1175</v>
      </c>
      <c r="E106" t="str">
        <f t="shared" si="1"/>
        <v>IE</v>
      </c>
      <c r="F106" s="348"/>
      <c r="I106" t="s">
        <v>1176</v>
      </c>
      <c r="X106" t="s">
        <v>1177</v>
      </c>
      <c r="Y106" t="s">
        <v>1178</v>
      </c>
    </row>
    <row r="107" spans="1:25" x14ac:dyDescent="0.3">
      <c r="A107" s="279" t="s">
        <v>1179</v>
      </c>
      <c r="B107" s="278" t="s">
        <v>1180</v>
      </c>
      <c r="C107" s="276" t="s">
        <v>1181</v>
      </c>
      <c r="D107" t="s">
        <v>1182</v>
      </c>
      <c r="E107" t="str">
        <f t="shared" si="1"/>
        <v>IL</v>
      </c>
      <c r="F107" s="82"/>
      <c r="I107" t="s">
        <v>1183</v>
      </c>
      <c r="X107" t="s">
        <v>1184</v>
      </c>
      <c r="Y107" t="s">
        <v>1185</v>
      </c>
    </row>
    <row r="108" spans="1:25" x14ac:dyDescent="0.3">
      <c r="A108" s="279" t="s">
        <v>1186</v>
      </c>
      <c r="B108" s="278" t="s">
        <v>1187</v>
      </c>
      <c r="C108" s="276" t="s">
        <v>1188</v>
      </c>
      <c r="D108" t="s">
        <v>1189</v>
      </c>
      <c r="E108" t="str">
        <f t="shared" si="1"/>
        <v>IM</v>
      </c>
      <c r="F108" s="348"/>
      <c r="I108" t="s">
        <v>1190</v>
      </c>
      <c r="X108" t="s">
        <v>1191</v>
      </c>
      <c r="Y108" t="s">
        <v>1192</v>
      </c>
    </row>
    <row r="109" spans="1:25" x14ac:dyDescent="0.3">
      <c r="A109" s="278" t="s">
        <v>701</v>
      </c>
      <c r="B109" s="275" t="s">
        <v>1193</v>
      </c>
      <c r="C109" s="276" t="s">
        <v>1194</v>
      </c>
      <c r="D109" t="s">
        <v>1195</v>
      </c>
      <c r="E109" t="str">
        <f t="shared" si="1"/>
        <v>IN</v>
      </c>
      <c r="F109" s="348"/>
      <c r="I109" t="s">
        <v>1196</v>
      </c>
      <c r="X109" t="s">
        <v>1197</v>
      </c>
      <c r="Y109" t="s">
        <v>1198</v>
      </c>
    </row>
    <row r="110" spans="1:25" x14ac:dyDescent="0.3">
      <c r="A110" s="279" t="s">
        <v>1199</v>
      </c>
      <c r="B110" s="278" t="s">
        <v>1200</v>
      </c>
      <c r="C110" s="276" t="s">
        <v>1201</v>
      </c>
      <c r="D110" t="s">
        <v>1202</v>
      </c>
      <c r="E110" t="str">
        <f t="shared" si="1"/>
        <v>IO</v>
      </c>
      <c r="F110" s="82"/>
      <c r="I110" t="s">
        <v>1203</v>
      </c>
      <c r="X110" t="s">
        <v>1204</v>
      </c>
      <c r="Y110" t="s">
        <v>1205</v>
      </c>
    </row>
    <row r="111" spans="1:25" x14ac:dyDescent="0.3">
      <c r="A111" s="279" t="s">
        <v>1206</v>
      </c>
      <c r="B111" s="278" t="s">
        <v>1207</v>
      </c>
      <c r="C111" s="276" t="s">
        <v>1208</v>
      </c>
      <c r="D111" t="s">
        <v>1209</v>
      </c>
      <c r="E111" t="str">
        <f t="shared" si="1"/>
        <v>IQ</v>
      </c>
      <c r="F111" s="348"/>
      <c r="I111" t="s">
        <v>1210</v>
      </c>
      <c r="X111" t="s">
        <v>1211</v>
      </c>
      <c r="Y111" t="s">
        <v>1212</v>
      </c>
    </row>
    <row r="112" spans="1:25" x14ac:dyDescent="0.3">
      <c r="A112" s="278" t="s">
        <v>708</v>
      </c>
      <c r="B112" s="278" t="s">
        <v>1213</v>
      </c>
      <c r="C112" s="276" t="s">
        <v>1214</v>
      </c>
      <c r="D112" t="s">
        <v>1215</v>
      </c>
      <c r="E112" t="str">
        <f t="shared" si="1"/>
        <v>IR</v>
      </c>
      <c r="F112" s="348"/>
      <c r="I112" t="s">
        <v>1216</v>
      </c>
      <c r="X112" t="s">
        <v>1217</v>
      </c>
      <c r="Y112" t="s">
        <v>1218</v>
      </c>
    </row>
    <row r="113" spans="1:25" x14ac:dyDescent="0.3">
      <c r="A113" s="279" t="s">
        <v>1219</v>
      </c>
      <c r="B113" s="278" t="s">
        <v>1220</v>
      </c>
      <c r="C113" s="276" t="s">
        <v>1221</v>
      </c>
      <c r="D113" t="s">
        <v>1222</v>
      </c>
      <c r="E113" t="str">
        <f t="shared" si="1"/>
        <v>IS</v>
      </c>
      <c r="F113" s="348"/>
      <c r="I113" t="s">
        <v>1223</v>
      </c>
      <c r="X113" t="s">
        <v>1224</v>
      </c>
      <c r="Y113" t="s">
        <v>1225</v>
      </c>
    </row>
    <row r="114" spans="1:25" x14ac:dyDescent="0.3">
      <c r="A114" s="279" t="s">
        <v>1226</v>
      </c>
      <c r="B114" s="278" t="s">
        <v>1227</v>
      </c>
      <c r="C114" s="276" t="s">
        <v>1228</v>
      </c>
      <c r="D114" t="s">
        <v>1229</v>
      </c>
      <c r="E114" t="str">
        <f t="shared" si="1"/>
        <v>IT</v>
      </c>
      <c r="F114" s="348"/>
      <c r="I114" t="s">
        <v>1230</v>
      </c>
      <c r="X114" t="s">
        <v>1231</v>
      </c>
      <c r="Y114" t="s">
        <v>1232</v>
      </c>
    </row>
    <row r="115" spans="1:25" x14ac:dyDescent="0.3">
      <c r="A115" s="279" t="s">
        <v>1233</v>
      </c>
      <c r="B115" s="278" t="s">
        <v>1234</v>
      </c>
      <c r="C115" s="276" t="s">
        <v>1235</v>
      </c>
      <c r="D115" t="s">
        <v>1236</v>
      </c>
      <c r="E115" t="str">
        <f t="shared" si="1"/>
        <v>JE</v>
      </c>
      <c r="F115" s="82"/>
      <c r="I115" t="s">
        <v>1237</v>
      </c>
      <c r="X115" t="s">
        <v>1238</v>
      </c>
      <c r="Y115" t="s">
        <v>1239</v>
      </c>
    </row>
    <row r="116" spans="1:25" x14ac:dyDescent="0.3">
      <c r="A116" s="278" t="s">
        <v>716</v>
      </c>
      <c r="B116" s="278" t="s">
        <v>1240</v>
      </c>
      <c r="C116" s="276" t="s">
        <v>1241</v>
      </c>
      <c r="D116" t="s">
        <v>1242</v>
      </c>
      <c r="E116" t="str">
        <f t="shared" si="1"/>
        <v>JM</v>
      </c>
      <c r="F116" s="348"/>
      <c r="I116" t="s">
        <v>1243</v>
      </c>
      <c r="X116" t="s">
        <v>1244</v>
      </c>
      <c r="Y116" t="s">
        <v>1245</v>
      </c>
    </row>
    <row r="117" spans="1:25" x14ac:dyDescent="0.3">
      <c r="A117" s="279" t="s">
        <v>1246</v>
      </c>
      <c r="B117" s="275" t="s">
        <v>1247</v>
      </c>
      <c r="C117" s="276" t="s">
        <v>1248</v>
      </c>
      <c r="D117" t="s">
        <v>1249</v>
      </c>
      <c r="E117" t="str">
        <f t="shared" si="1"/>
        <v>JO</v>
      </c>
      <c r="F117" s="348"/>
      <c r="I117" t="s">
        <v>1250</v>
      </c>
      <c r="X117" t="s">
        <v>1251</v>
      </c>
      <c r="Y117" t="s">
        <v>1252</v>
      </c>
    </row>
    <row r="118" spans="1:25" x14ac:dyDescent="0.3">
      <c r="A118" s="279" t="s">
        <v>1253</v>
      </c>
      <c r="B118" s="278" t="s">
        <v>1254</v>
      </c>
      <c r="C118" s="276" t="s">
        <v>1255</v>
      </c>
      <c r="D118" t="s">
        <v>1256</v>
      </c>
      <c r="E118" t="str">
        <f t="shared" si="1"/>
        <v>JP</v>
      </c>
      <c r="F118" s="348"/>
      <c r="I118" t="s">
        <v>1257</v>
      </c>
      <c r="X118" t="s">
        <v>1258</v>
      </c>
      <c r="Y118" t="s">
        <v>1259</v>
      </c>
    </row>
    <row r="119" spans="1:25" x14ac:dyDescent="0.3">
      <c r="A119" s="279" t="s">
        <v>1260</v>
      </c>
      <c r="B119" s="278" t="s">
        <v>1261</v>
      </c>
      <c r="C119" s="276" t="s">
        <v>1262</v>
      </c>
      <c r="D119" t="s">
        <v>1263</v>
      </c>
      <c r="E119" t="str">
        <f t="shared" si="1"/>
        <v>KE</v>
      </c>
      <c r="F119" s="82"/>
      <c r="I119" t="s">
        <v>1264</v>
      </c>
      <c r="X119" t="s">
        <v>1265</v>
      </c>
      <c r="Y119" t="s">
        <v>1266</v>
      </c>
    </row>
    <row r="120" spans="1:25" x14ac:dyDescent="0.3">
      <c r="A120" s="279" t="s">
        <v>1267</v>
      </c>
      <c r="B120" s="278" t="s">
        <v>1268</v>
      </c>
      <c r="C120" s="276" t="s">
        <v>1269</v>
      </c>
      <c r="D120" t="s">
        <v>1270</v>
      </c>
      <c r="E120" t="str">
        <f t="shared" si="1"/>
        <v>KG</v>
      </c>
      <c r="F120" s="348"/>
      <c r="I120" t="s">
        <v>1271</v>
      </c>
      <c r="X120" t="s">
        <v>1272</v>
      </c>
      <c r="Y120" t="s">
        <v>1273</v>
      </c>
    </row>
    <row r="121" spans="1:25" x14ac:dyDescent="0.3">
      <c r="A121" s="279" t="s">
        <v>1274</v>
      </c>
      <c r="B121" s="278" t="s">
        <v>1275</v>
      </c>
      <c r="C121" s="276" t="s">
        <v>1276</v>
      </c>
      <c r="D121" t="s">
        <v>1277</v>
      </c>
      <c r="E121" t="str">
        <f t="shared" si="1"/>
        <v>KH</v>
      </c>
      <c r="F121" s="348"/>
      <c r="I121" t="s">
        <v>1278</v>
      </c>
      <c r="X121" t="s">
        <v>1279</v>
      </c>
      <c r="Y121" t="s">
        <v>1280</v>
      </c>
    </row>
    <row r="122" spans="1:25" x14ac:dyDescent="0.3">
      <c r="A122" s="279" t="s">
        <v>1281</v>
      </c>
      <c r="B122" s="278" t="s">
        <v>1282</v>
      </c>
      <c r="C122" s="276" t="s">
        <v>1283</v>
      </c>
      <c r="D122" t="s">
        <v>1284</v>
      </c>
      <c r="E122" t="str">
        <f t="shared" si="1"/>
        <v>KI</v>
      </c>
      <c r="F122" s="348"/>
      <c r="I122" t="s">
        <v>1285</v>
      </c>
      <c r="X122" t="s">
        <v>1286</v>
      </c>
      <c r="Y122" t="s">
        <v>1287</v>
      </c>
    </row>
    <row r="123" spans="1:25" x14ac:dyDescent="0.3">
      <c r="A123" s="279" t="s">
        <v>1288</v>
      </c>
      <c r="B123" s="278" t="s">
        <v>1289</v>
      </c>
      <c r="C123" s="276" t="s">
        <v>1290</v>
      </c>
      <c r="D123" t="s">
        <v>1291</v>
      </c>
      <c r="E123" t="str">
        <f t="shared" si="1"/>
        <v>KM</v>
      </c>
      <c r="F123" s="348"/>
      <c r="I123" t="s">
        <v>1292</v>
      </c>
      <c r="X123" t="s">
        <v>1293</v>
      </c>
      <c r="Y123" t="s">
        <v>1294</v>
      </c>
    </row>
    <row r="124" spans="1:25" x14ac:dyDescent="0.3">
      <c r="A124" s="278" t="s">
        <v>723</v>
      </c>
      <c r="B124" s="275" t="s">
        <v>1295</v>
      </c>
      <c r="C124" s="276" t="s">
        <v>1296</v>
      </c>
      <c r="D124" t="s">
        <v>1297</v>
      </c>
      <c r="E124" t="str">
        <f t="shared" si="1"/>
        <v>KN</v>
      </c>
      <c r="F124" s="348"/>
      <c r="I124" t="s">
        <v>1298</v>
      </c>
      <c r="X124" t="s">
        <v>1299</v>
      </c>
      <c r="Y124" t="s">
        <v>1300</v>
      </c>
    </row>
    <row r="125" spans="1:25" x14ac:dyDescent="0.3">
      <c r="A125" s="279" t="s">
        <v>1301</v>
      </c>
      <c r="B125" s="278" t="s">
        <v>1302</v>
      </c>
      <c r="C125" s="276" t="s">
        <v>1303</v>
      </c>
      <c r="D125" t="s">
        <v>1304</v>
      </c>
      <c r="E125" t="str">
        <f t="shared" si="1"/>
        <v>KP</v>
      </c>
      <c r="F125" s="82"/>
      <c r="I125" t="s">
        <v>1305</v>
      </c>
      <c r="X125" t="s">
        <v>1306</v>
      </c>
      <c r="Y125" t="s">
        <v>1307</v>
      </c>
    </row>
    <row r="126" spans="1:25" x14ac:dyDescent="0.3">
      <c r="A126" s="279" t="s">
        <v>1308</v>
      </c>
      <c r="B126" s="278" t="s">
        <v>1309</v>
      </c>
      <c r="C126" s="276" t="s">
        <v>1310</v>
      </c>
      <c r="D126" t="s">
        <v>1311</v>
      </c>
      <c r="E126" t="str">
        <f t="shared" si="1"/>
        <v>KR</v>
      </c>
      <c r="F126" s="348"/>
      <c r="I126" t="s">
        <v>1312</v>
      </c>
      <c r="X126" t="s">
        <v>1313</v>
      </c>
      <c r="Y126" t="s">
        <v>1314</v>
      </c>
    </row>
    <row r="127" spans="1:25" x14ac:dyDescent="0.3">
      <c r="A127" s="275" t="s">
        <v>731</v>
      </c>
      <c r="B127" s="278" t="s">
        <v>1315</v>
      </c>
      <c r="C127" s="276" t="s">
        <v>1316</v>
      </c>
      <c r="D127" t="s">
        <v>1317</v>
      </c>
      <c r="E127" t="str">
        <f t="shared" si="1"/>
        <v>KW</v>
      </c>
      <c r="F127" s="348"/>
      <c r="I127" t="s">
        <v>1318</v>
      </c>
      <c r="X127" t="s">
        <v>1319</v>
      </c>
      <c r="Y127" t="s">
        <v>1320</v>
      </c>
    </row>
    <row r="128" spans="1:25" x14ac:dyDescent="0.3">
      <c r="A128" s="278" t="s">
        <v>738</v>
      </c>
      <c r="B128" s="278" t="s">
        <v>1321</v>
      </c>
      <c r="C128" s="276" t="s">
        <v>1322</v>
      </c>
      <c r="D128" t="s">
        <v>1323</v>
      </c>
      <c r="E128" t="str">
        <f t="shared" si="1"/>
        <v>KY</v>
      </c>
      <c r="F128" s="348"/>
      <c r="I128" t="s">
        <v>1324</v>
      </c>
      <c r="X128" t="s">
        <v>1325</v>
      </c>
      <c r="Y128" t="s">
        <v>1326</v>
      </c>
    </row>
    <row r="129" spans="1:25" x14ac:dyDescent="0.3">
      <c r="A129" s="279" t="s">
        <v>1327</v>
      </c>
      <c r="B129" s="278" t="s">
        <v>1328</v>
      </c>
      <c r="C129" s="276" t="s">
        <v>1329</v>
      </c>
      <c r="D129" t="s">
        <v>1330</v>
      </c>
      <c r="E129" t="str">
        <f t="shared" si="1"/>
        <v>KZ</v>
      </c>
      <c r="F129" s="348"/>
      <c r="I129" t="s">
        <v>1331</v>
      </c>
      <c r="X129" t="s">
        <v>1332</v>
      </c>
      <c r="Y129" t="s">
        <v>1333</v>
      </c>
    </row>
    <row r="130" spans="1:25" x14ac:dyDescent="0.3">
      <c r="A130" s="279" t="s">
        <v>1334</v>
      </c>
      <c r="B130" s="275" t="s">
        <v>1335</v>
      </c>
      <c r="C130" s="276" t="s">
        <v>1336</v>
      </c>
      <c r="D130" t="s">
        <v>1337</v>
      </c>
      <c r="E130" t="str">
        <f t="shared" si="1"/>
        <v>LA</v>
      </c>
      <c r="F130" s="348"/>
      <c r="I130" t="s">
        <v>1338</v>
      </c>
      <c r="X130" t="s">
        <v>1339</v>
      </c>
      <c r="Y130" t="s">
        <v>1340</v>
      </c>
    </row>
    <row r="131" spans="1:25" x14ac:dyDescent="0.3">
      <c r="A131" s="279" t="s">
        <v>1341</v>
      </c>
      <c r="B131" s="278" t="s">
        <v>1342</v>
      </c>
      <c r="C131" s="276" t="s">
        <v>1343</v>
      </c>
      <c r="D131" t="s">
        <v>1344</v>
      </c>
      <c r="E131" t="str">
        <f t="shared" ref="E131:E194" si="2">RIGHT(D131,2)</f>
        <v>LB</v>
      </c>
      <c r="F131" s="82"/>
      <c r="I131" t="s">
        <v>1345</v>
      </c>
      <c r="X131" t="s">
        <v>1346</v>
      </c>
      <c r="Y131" t="s">
        <v>1347</v>
      </c>
    </row>
    <row r="132" spans="1:25" x14ac:dyDescent="0.3">
      <c r="A132" s="279" t="s">
        <v>1348</v>
      </c>
      <c r="B132" s="278" t="s">
        <v>1349</v>
      </c>
      <c r="C132" s="276" t="s">
        <v>1350</v>
      </c>
      <c r="D132" t="s">
        <v>1351</v>
      </c>
      <c r="E132" t="str">
        <f t="shared" si="2"/>
        <v>LC</v>
      </c>
      <c r="F132" s="348"/>
      <c r="I132" t="s">
        <v>1352</v>
      </c>
      <c r="X132" t="s">
        <v>1353</v>
      </c>
      <c r="Y132" t="s">
        <v>1354</v>
      </c>
    </row>
    <row r="133" spans="1:25" x14ac:dyDescent="0.3">
      <c r="A133" s="279" t="s">
        <v>1355</v>
      </c>
      <c r="B133" s="278" t="s">
        <v>1356</v>
      </c>
      <c r="C133" s="276" t="s">
        <v>1357</v>
      </c>
      <c r="D133" t="s">
        <v>1358</v>
      </c>
      <c r="E133" t="str">
        <f t="shared" si="2"/>
        <v>LI</v>
      </c>
      <c r="F133" s="348"/>
      <c r="I133" t="s">
        <v>1359</v>
      </c>
      <c r="X133" t="s">
        <v>1360</v>
      </c>
      <c r="Y133" t="s">
        <v>1361</v>
      </c>
    </row>
    <row r="134" spans="1:25" x14ac:dyDescent="0.3">
      <c r="A134" s="279" t="s">
        <v>1362</v>
      </c>
      <c r="B134" s="275" t="s">
        <v>1363</v>
      </c>
      <c r="C134" s="276" t="s">
        <v>1364</v>
      </c>
      <c r="D134" t="s">
        <v>1365</v>
      </c>
      <c r="E134" t="str">
        <f t="shared" si="2"/>
        <v>LK</v>
      </c>
      <c r="F134" s="348"/>
      <c r="I134" t="s">
        <v>1366</v>
      </c>
      <c r="Y134" t="s">
        <v>1367</v>
      </c>
    </row>
    <row r="135" spans="1:25" x14ac:dyDescent="0.3">
      <c r="A135" s="279" t="s">
        <v>1368</v>
      </c>
      <c r="B135" s="278" t="s">
        <v>1369</v>
      </c>
      <c r="C135" s="276" t="s">
        <v>1370</v>
      </c>
      <c r="D135" t="s">
        <v>1371</v>
      </c>
      <c r="E135" t="str">
        <f t="shared" si="2"/>
        <v>LR</v>
      </c>
      <c r="F135" s="82"/>
      <c r="I135" t="s">
        <v>1372</v>
      </c>
      <c r="Y135" t="s">
        <v>1373</v>
      </c>
    </row>
    <row r="136" spans="1:25" x14ac:dyDescent="0.3">
      <c r="A136" s="275" t="s">
        <v>746</v>
      </c>
      <c r="B136" s="278" t="s">
        <v>1374</v>
      </c>
      <c r="C136" s="276" t="s">
        <v>1375</v>
      </c>
      <c r="D136" t="s">
        <v>1376</v>
      </c>
      <c r="E136" t="str">
        <f t="shared" si="2"/>
        <v>LS</v>
      </c>
      <c r="F136" s="348"/>
      <c r="I136" t="s">
        <v>1377</v>
      </c>
      <c r="Y136" t="s">
        <v>1378</v>
      </c>
    </row>
    <row r="137" spans="1:25" x14ac:dyDescent="0.3">
      <c r="A137" s="278" t="s">
        <v>753</v>
      </c>
      <c r="B137" s="278" t="s">
        <v>1379</v>
      </c>
      <c r="C137" s="276" t="s">
        <v>1380</v>
      </c>
      <c r="D137" t="s">
        <v>1381</v>
      </c>
      <c r="E137" t="str">
        <f t="shared" si="2"/>
        <v>LT</v>
      </c>
      <c r="F137" s="348"/>
      <c r="I137" t="s">
        <v>1382</v>
      </c>
      <c r="Y137" t="s">
        <v>1383</v>
      </c>
    </row>
    <row r="138" spans="1:25" x14ac:dyDescent="0.3">
      <c r="A138" s="279" t="s">
        <v>1384</v>
      </c>
      <c r="B138" s="278" t="s">
        <v>1385</v>
      </c>
      <c r="C138" s="276" t="s">
        <v>1386</v>
      </c>
      <c r="D138" t="s">
        <v>1387</v>
      </c>
      <c r="E138" t="str">
        <f t="shared" si="2"/>
        <v>LU</v>
      </c>
      <c r="F138" s="347"/>
      <c r="I138" t="s">
        <v>1388</v>
      </c>
      <c r="Y138" t="s">
        <v>1389</v>
      </c>
    </row>
    <row r="139" spans="1:25" x14ac:dyDescent="0.3">
      <c r="A139" s="275" t="s">
        <v>761</v>
      </c>
      <c r="B139" s="278" t="s">
        <v>1390</v>
      </c>
      <c r="C139" s="276" t="s">
        <v>1391</v>
      </c>
      <c r="D139" t="s">
        <v>1392</v>
      </c>
      <c r="E139" t="str">
        <f t="shared" si="2"/>
        <v>LV</v>
      </c>
      <c r="F139" s="348"/>
      <c r="I139" t="s">
        <v>1393</v>
      </c>
      <c r="Y139" t="s">
        <v>1394</v>
      </c>
    </row>
    <row r="140" spans="1:25" x14ac:dyDescent="0.3">
      <c r="A140" s="278" t="s">
        <v>768</v>
      </c>
      <c r="B140" s="275" t="s">
        <v>1395</v>
      </c>
      <c r="C140" s="276" t="s">
        <v>1396</v>
      </c>
      <c r="D140" t="s">
        <v>1397</v>
      </c>
      <c r="E140" t="str">
        <f t="shared" si="2"/>
        <v>LY</v>
      </c>
      <c r="F140" s="82"/>
      <c r="I140" t="s">
        <v>1398</v>
      </c>
      <c r="Y140" t="s">
        <v>1399</v>
      </c>
    </row>
    <row r="141" spans="1:25" x14ac:dyDescent="0.3">
      <c r="A141" s="279" t="s">
        <v>1400</v>
      </c>
      <c r="B141" s="278" t="s">
        <v>1401</v>
      </c>
      <c r="C141" s="276" t="s">
        <v>1402</v>
      </c>
      <c r="D141" t="s">
        <v>1403</v>
      </c>
      <c r="E141" t="str">
        <f t="shared" si="2"/>
        <v>MA</v>
      </c>
      <c r="F141" s="348"/>
      <c r="I141" t="s">
        <v>1404</v>
      </c>
      <c r="Y141" t="s">
        <v>1405</v>
      </c>
    </row>
    <row r="142" spans="1:25" x14ac:dyDescent="0.3">
      <c r="A142" s="278" t="s">
        <v>775</v>
      </c>
      <c r="B142" s="275" t="s">
        <v>1406</v>
      </c>
      <c r="C142" s="276" t="s">
        <v>1407</v>
      </c>
      <c r="D142" t="s">
        <v>1408</v>
      </c>
      <c r="E142" t="str">
        <f t="shared" si="2"/>
        <v>MC</v>
      </c>
      <c r="F142" s="348"/>
      <c r="I142" t="s">
        <v>1409</v>
      </c>
      <c r="Y142" t="s">
        <v>1410</v>
      </c>
    </row>
    <row r="143" spans="1:25" x14ac:dyDescent="0.3">
      <c r="A143" s="279" t="s">
        <v>1411</v>
      </c>
      <c r="B143" s="278" t="s">
        <v>1412</v>
      </c>
      <c r="C143" s="276" t="s">
        <v>1413</v>
      </c>
      <c r="D143" t="s">
        <v>1414</v>
      </c>
      <c r="E143" t="str">
        <f t="shared" si="2"/>
        <v>MD</v>
      </c>
      <c r="F143" s="347"/>
      <c r="I143" t="s">
        <v>1415</v>
      </c>
      <c r="Y143" t="s">
        <v>1416</v>
      </c>
    </row>
    <row r="144" spans="1:25" x14ac:dyDescent="0.3">
      <c r="A144" s="278" t="s">
        <v>783</v>
      </c>
      <c r="B144" s="278" t="s">
        <v>1417</v>
      </c>
      <c r="C144" s="276" t="s">
        <v>1418</v>
      </c>
      <c r="D144" t="s">
        <v>1419</v>
      </c>
      <c r="E144" t="str">
        <f t="shared" si="2"/>
        <v>ME</v>
      </c>
      <c r="F144" s="348"/>
      <c r="I144" t="s">
        <v>1420</v>
      </c>
      <c r="Y144" t="s">
        <v>1421</v>
      </c>
    </row>
    <row r="145" spans="1:25" x14ac:dyDescent="0.3">
      <c r="A145" s="279" t="s">
        <v>1422</v>
      </c>
      <c r="B145" s="278" t="s">
        <v>1423</v>
      </c>
      <c r="C145" s="276" t="s">
        <v>1424</v>
      </c>
      <c r="D145" t="s">
        <v>1425</v>
      </c>
      <c r="E145" t="str">
        <f t="shared" si="2"/>
        <v>MF</v>
      </c>
      <c r="F145" s="348"/>
      <c r="I145" t="s">
        <v>1426</v>
      </c>
      <c r="Y145" t="s">
        <v>1427</v>
      </c>
    </row>
    <row r="146" spans="1:25" x14ac:dyDescent="0.3">
      <c r="A146" s="278" t="s">
        <v>791</v>
      </c>
      <c r="B146" s="278" t="s">
        <v>1428</v>
      </c>
      <c r="C146" s="276" t="s">
        <v>1429</v>
      </c>
      <c r="D146" t="s">
        <v>1430</v>
      </c>
      <c r="E146" t="str">
        <f t="shared" si="2"/>
        <v>MG</v>
      </c>
      <c r="F146" s="347"/>
      <c r="I146" t="s">
        <v>1431</v>
      </c>
      <c r="Y146" t="s">
        <v>1432</v>
      </c>
    </row>
    <row r="147" spans="1:25" x14ac:dyDescent="0.3">
      <c r="A147" s="279" t="s">
        <v>1433</v>
      </c>
      <c r="B147" s="278" t="s">
        <v>1434</v>
      </c>
      <c r="C147" s="276" t="s">
        <v>1435</v>
      </c>
      <c r="D147" t="s">
        <v>1436</v>
      </c>
      <c r="E147" t="str">
        <f t="shared" si="2"/>
        <v>MH</v>
      </c>
      <c r="F147" s="82"/>
      <c r="I147" t="s">
        <v>1437</v>
      </c>
      <c r="Y147" t="s">
        <v>1438</v>
      </c>
    </row>
    <row r="148" spans="1:25" x14ac:dyDescent="0.3">
      <c r="A148" s="279" t="s">
        <v>1439</v>
      </c>
      <c r="B148" s="278" t="s">
        <v>1440</v>
      </c>
      <c r="C148" s="276" t="s">
        <v>1441</v>
      </c>
      <c r="D148" t="s">
        <v>1442</v>
      </c>
      <c r="E148" t="str">
        <f t="shared" si="2"/>
        <v>MK</v>
      </c>
      <c r="F148" s="348"/>
      <c r="I148" t="s">
        <v>1443</v>
      </c>
      <c r="Y148" t="s">
        <v>1444</v>
      </c>
    </row>
    <row r="149" spans="1:25" x14ac:dyDescent="0.3">
      <c r="A149" s="279" t="s">
        <v>1445</v>
      </c>
      <c r="B149" s="275" t="s">
        <v>1446</v>
      </c>
      <c r="C149" s="276" t="s">
        <v>1447</v>
      </c>
      <c r="D149" t="s">
        <v>1448</v>
      </c>
      <c r="E149" t="str">
        <f t="shared" si="2"/>
        <v>ML</v>
      </c>
      <c r="F149" s="348"/>
      <c r="I149" t="s">
        <v>1449</v>
      </c>
      <c r="Y149" t="s">
        <v>1450</v>
      </c>
    </row>
    <row r="150" spans="1:25" x14ac:dyDescent="0.3">
      <c r="A150" s="279" t="s">
        <v>1451</v>
      </c>
      <c r="B150" s="278" t="s">
        <v>1452</v>
      </c>
      <c r="C150" s="276" t="s">
        <v>1453</v>
      </c>
      <c r="D150" t="s">
        <v>1454</v>
      </c>
      <c r="E150" t="str">
        <f t="shared" si="2"/>
        <v>MM</v>
      </c>
      <c r="F150" s="348"/>
      <c r="I150" t="s">
        <v>1455</v>
      </c>
      <c r="Y150" t="s">
        <v>1456</v>
      </c>
    </row>
    <row r="151" spans="1:25" x14ac:dyDescent="0.3">
      <c r="A151" s="279" t="s">
        <v>1457</v>
      </c>
      <c r="B151" s="278" t="s">
        <v>1458</v>
      </c>
      <c r="C151" s="276" t="s">
        <v>1459</v>
      </c>
      <c r="D151" t="s">
        <v>1460</v>
      </c>
      <c r="E151" t="str">
        <f t="shared" si="2"/>
        <v>MN</v>
      </c>
      <c r="F151" s="347"/>
      <c r="I151" t="s">
        <v>1461</v>
      </c>
      <c r="Y151" t="s">
        <v>1462</v>
      </c>
    </row>
    <row r="152" spans="1:25" x14ac:dyDescent="0.3">
      <c r="A152" s="279" t="s">
        <v>1463</v>
      </c>
      <c r="B152" s="276" t="s">
        <v>1068</v>
      </c>
      <c r="C152" s="276" t="s">
        <v>1464</v>
      </c>
      <c r="D152" t="s">
        <v>1465</v>
      </c>
      <c r="E152" t="str">
        <f t="shared" si="2"/>
        <v>MO</v>
      </c>
      <c r="F152" s="347"/>
      <c r="I152" t="s">
        <v>1466</v>
      </c>
      <c r="Y152" t="s">
        <v>1467</v>
      </c>
    </row>
    <row r="153" spans="1:25" x14ac:dyDescent="0.3">
      <c r="A153" s="279" t="s">
        <v>1468</v>
      </c>
      <c r="B153" s="275" t="s">
        <v>1469</v>
      </c>
      <c r="C153" s="276" t="s">
        <v>1470</v>
      </c>
      <c r="D153" t="s">
        <v>1471</v>
      </c>
      <c r="E153" t="str">
        <f t="shared" si="2"/>
        <v>MP</v>
      </c>
      <c r="F153" s="347"/>
      <c r="I153" t="s">
        <v>1472</v>
      </c>
      <c r="Y153" t="s">
        <v>1473</v>
      </c>
    </row>
    <row r="154" spans="1:25" x14ac:dyDescent="0.3">
      <c r="A154" s="275" t="s">
        <v>798</v>
      </c>
      <c r="B154" s="278" t="s">
        <v>1474</v>
      </c>
      <c r="C154" s="276" t="s">
        <v>1475</v>
      </c>
      <c r="D154" t="s">
        <v>1476</v>
      </c>
      <c r="E154" t="str">
        <f t="shared" si="2"/>
        <v>MQ</v>
      </c>
      <c r="F154" s="348"/>
      <c r="I154" t="s">
        <v>1477</v>
      </c>
      <c r="Y154" t="s">
        <v>1478</v>
      </c>
    </row>
    <row r="155" spans="1:25" x14ac:dyDescent="0.3">
      <c r="A155" s="278" t="s">
        <v>806</v>
      </c>
      <c r="B155" s="278" t="s">
        <v>1479</v>
      </c>
      <c r="C155" s="276" t="s">
        <v>1480</v>
      </c>
      <c r="D155" t="s">
        <v>1481</v>
      </c>
      <c r="E155" t="str">
        <f t="shared" si="2"/>
        <v>MR</v>
      </c>
      <c r="F155" s="348"/>
      <c r="I155" t="s">
        <v>1482</v>
      </c>
      <c r="Y155" t="s">
        <v>1483</v>
      </c>
    </row>
    <row r="156" spans="1:25" x14ac:dyDescent="0.3">
      <c r="A156" s="279" t="s">
        <v>1484</v>
      </c>
      <c r="B156" s="278" t="s">
        <v>1485</v>
      </c>
      <c r="C156" s="276" t="s">
        <v>1486</v>
      </c>
      <c r="D156" t="s">
        <v>1487</v>
      </c>
      <c r="E156" t="str">
        <f t="shared" si="2"/>
        <v>MS</v>
      </c>
      <c r="F156" s="82"/>
      <c r="I156" t="s">
        <v>1488</v>
      </c>
      <c r="Y156" t="s">
        <v>1489</v>
      </c>
    </row>
    <row r="157" spans="1:25" x14ac:dyDescent="0.3">
      <c r="A157" s="278" t="s">
        <v>814</v>
      </c>
      <c r="B157" s="278" t="s">
        <v>1490</v>
      </c>
      <c r="C157" s="276" t="s">
        <v>1491</v>
      </c>
      <c r="D157" t="s">
        <v>1492</v>
      </c>
      <c r="E157" t="str">
        <f t="shared" si="2"/>
        <v>MT</v>
      </c>
      <c r="F157" s="348"/>
      <c r="I157" t="s">
        <v>1493</v>
      </c>
      <c r="Y157" t="s">
        <v>1494</v>
      </c>
    </row>
    <row r="158" spans="1:25" x14ac:dyDescent="0.3">
      <c r="A158" s="279" t="s">
        <v>1495</v>
      </c>
      <c r="B158" s="276" t="s">
        <v>1496</v>
      </c>
      <c r="C158" s="276" t="s">
        <v>1497</v>
      </c>
      <c r="D158" t="s">
        <v>1498</v>
      </c>
      <c r="E158" t="str">
        <f t="shared" si="2"/>
        <v>MU</v>
      </c>
      <c r="F158" s="82"/>
      <c r="I158" t="s">
        <v>1499</v>
      </c>
      <c r="Y158" t="s">
        <v>1500</v>
      </c>
    </row>
    <row r="159" spans="1:25" x14ac:dyDescent="0.3">
      <c r="A159" s="279" t="s">
        <v>1501</v>
      </c>
      <c r="B159" s="275" t="s">
        <v>1502</v>
      </c>
      <c r="C159" s="276" t="s">
        <v>1503</v>
      </c>
      <c r="D159" t="s">
        <v>1504</v>
      </c>
      <c r="E159" t="str">
        <f t="shared" si="2"/>
        <v>MV</v>
      </c>
      <c r="F159" s="82"/>
      <c r="I159" t="s">
        <v>1505</v>
      </c>
      <c r="Y159" t="s">
        <v>1506</v>
      </c>
    </row>
    <row r="160" spans="1:25" x14ac:dyDescent="0.3">
      <c r="A160" s="279" t="s">
        <v>1507</v>
      </c>
      <c r="B160" s="278" t="s">
        <v>1508</v>
      </c>
      <c r="C160" s="276" t="s">
        <v>1509</v>
      </c>
      <c r="D160" t="s">
        <v>1510</v>
      </c>
      <c r="E160" t="str">
        <f t="shared" si="2"/>
        <v>MW</v>
      </c>
      <c r="F160" s="82"/>
      <c r="I160" t="s">
        <v>1511</v>
      </c>
      <c r="Y160" t="s">
        <v>1512</v>
      </c>
    </row>
    <row r="161" spans="1:25" x14ac:dyDescent="0.3">
      <c r="A161" s="279" t="s">
        <v>1513</v>
      </c>
      <c r="B161" s="275" t="s">
        <v>1514</v>
      </c>
      <c r="C161" s="276" t="s">
        <v>1515</v>
      </c>
      <c r="D161" t="s">
        <v>1516</v>
      </c>
      <c r="E161" t="str">
        <f t="shared" si="2"/>
        <v>MX</v>
      </c>
      <c r="F161" s="82"/>
      <c r="I161" t="s">
        <v>1517</v>
      </c>
      <c r="Y161" t="s">
        <v>1518</v>
      </c>
    </row>
    <row r="162" spans="1:25" x14ac:dyDescent="0.3">
      <c r="A162" s="279" t="s">
        <v>1519</v>
      </c>
      <c r="B162" s="278" t="s">
        <v>1520</v>
      </c>
      <c r="C162" s="276" t="s">
        <v>1521</v>
      </c>
      <c r="D162" t="s">
        <v>1522</v>
      </c>
      <c r="E162" t="str">
        <f t="shared" si="2"/>
        <v>MY</v>
      </c>
      <c r="I162" t="s">
        <v>1523</v>
      </c>
      <c r="Y162" t="s">
        <v>1524</v>
      </c>
    </row>
    <row r="163" spans="1:25" x14ac:dyDescent="0.3">
      <c r="A163" s="275" t="s">
        <v>821</v>
      </c>
      <c r="B163" s="275" t="s">
        <v>1525</v>
      </c>
      <c r="C163" s="276" t="s">
        <v>1526</v>
      </c>
      <c r="D163" t="s">
        <v>1527</v>
      </c>
      <c r="E163" t="str">
        <f t="shared" si="2"/>
        <v>MZ</v>
      </c>
      <c r="I163" t="s">
        <v>1528</v>
      </c>
      <c r="Y163" t="s">
        <v>1529</v>
      </c>
    </row>
    <row r="164" spans="1:25" x14ac:dyDescent="0.3">
      <c r="A164" s="278" t="s">
        <v>829</v>
      </c>
      <c r="B164" s="278" t="s">
        <v>1530</v>
      </c>
      <c r="C164" s="276" t="s">
        <v>1531</v>
      </c>
      <c r="D164" t="s">
        <v>1532</v>
      </c>
      <c r="E164" t="str">
        <f t="shared" si="2"/>
        <v>NA</v>
      </c>
      <c r="I164" t="s">
        <v>1533</v>
      </c>
      <c r="Y164" t="s">
        <v>1534</v>
      </c>
    </row>
    <row r="165" spans="1:25" x14ac:dyDescent="0.3">
      <c r="A165" s="279" t="s">
        <v>1535</v>
      </c>
      <c r="B165" s="278" t="s">
        <v>1536</v>
      </c>
      <c r="C165" s="276" t="s">
        <v>1537</v>
      </c>
      <c r="D165" t="s">
        <v>1538</v>
      </c>
      <c r="E165" t="str">
        <f t="shared" si="2"/>
        <v>NC</v>
      </c>
      <c r="I165" t="s">
        <v>1539</v>
      </c>
      <c r="Y165" t="s">
        <v>1540</v>
      </c>
    </row>
    <row r="166" spans="1:25" x14ac:dyDescent="0.3">
      <c r="A166" s="279" t="s">
        <v>1541</v>
      </c>
      <c r="B166" s="278" t="s">
        <v>1542</v>
      </c>
      <c r="C166" s="276" t="s">
        <v>1543</v>
      </c>
      <c r="D166" t="s">
        <v>1544</v>
      </c>
      <c r="E166" t="str">
        <f t="shared" si="2"/>
        <v>NE</v>
      </c>
      <c r="I166" t="s">
        <v>1545</v>
      </c>
      <c r="Y166" t="s">
        <v>1546</v>
      </c>
    </row>
    <row r="167" spans="1:25" x14ac:dyDescent="0.3">
      <c r="A167" s="278" t="s">
        <v>836</v>
      </c>
      <c r="B167" s="275" t="s">
        <v>1547</v>
      </c>
      <c r="C167" s="276" t="s">
        <v>1548</v>
      </c>
      <c r="D167" t="s">
        <v>1549</v>
      </c>
      <c r="E167" t="str">
        <f t="shared" si="2"/>
        <v>NF</v>
      </c>
      <c r="I167" t="s">
        <v>1550</v>
      </c>
      <c r="Y167" t="s">
        <v>1551</v>
      </c>
    </row>
    <row r="168" spans="1:25" x14ac:dyDescent="0.3">
      <c r="A168" s="279" t="s">
        <v>1552</v>
      </c>
      <c r="B168" s="278" t="s">
        <v>1553</v>
      </c>
      <c r="C168" s="276" t="s">
        <v>1554</v>
      </c>
      <c r="D168" t="s">
        <v>1555</v>
      </c>
      <c r="E168" t="str">
        <f t="shared" si="2"/>
        <v>NG</v>
      </c>
      <c r="I168" t="s">
        <v>1556</v>
      </c>
      <c r="Y168" t="s">
        <v>1557</v>
      </c>
    </row>
    <row r="169" spans="1:25" x14ac:dyDescent="0.3">
      <c r="A169" s="275" t="s">
        <v>843</v>
      </c>
      <c r="B169" s="276" t="s">
        <v>1558</v>
      </c>
      <c r="C169" s="276" t="s">
        <v>1559</v>
      </c>
      <c r="D169" t="s">
        <v>1560</v>
      </c>
      <c r="E169" t="str">
        <f t="shared" si="2"/>
        <v>NI</v>
      </c>
      <c r="I169" t="s">
        <v>1561</v>
      </c>
      <c r="Y169" t="s">
        <v>1562</v>
      </c>
    </row>
    <row r="170" spans="1:25" x14ac:dyDescent="0.3">
      <c r="A170" s="278" t="s">
        <v>850</v>
      </c>
      <c r="B170" s="275" t="s">
        <v>1563</v>
      </c>
      <c r="C170" s="276" t="s">
        <v>1564</v>
      </c>
      <c r="D170" t="s">
        <v>1565</v>
      </c>
      <c r="E170" t="str">
        <f t="shared" si="2"/>
        <v>NL</v>
      </c>
      <c r="I170" t="s">
        <v>1566</v>
      </c>
      <c r="Y170" t="s">
        <v>1567</v>
      </c>
    </row>
    <row r="171" spans="1:25" x14ac:dyDescent="0.3">
      <c r="A171" s="279" t="s">
        <v>1568</v>
      </c>
      <c r="B171" s="278" t="s">
        <v>1569</v>
      </c>
      <c r="C171" s="276" t="s">
        <v>1570</v>
      </c>
      <c r="D171" t="s">
        <v>1571</v>
      </c>
      <c r="E171" t="str">
        <f t="shared" si="2"/>
        <v>NO</v>
      </c>
      <c r="I171" t="s">
        <v>1572</v>
      </c>
    </row>
    <row r="172" spans="1:25" x14ac:dyDescent="0.3">
      <c r="A172" s="279" t="s">
        <v>1573</v>
      </c>
      <c r="B172" s="275" t="s">
        <v>1574</v>
      </c>
      <c r="C172" s="276" t="s">
        <v>1575</v>
      </c>
      <c r="D172" t="s">
        <v>1576</v>
      </c>
      <c r="E172" t="str">
        <f t="shared" si="2"/>
        <v>NP</v>
      </c>
      <c r="I172" t="s">
        <v>1577</v>
      </c>
    </row>
    <row r="173" spans="1:25" x14ac:dyDescent="0.3">
      <c r="A173" s="278" t="s">
        <v>858</v>
      </c>
      <c r="B173" s="278" t="s">
        <v>1578</v>
      </c>
      <c r="C173" s="276" t="s">
        <v>1579</v>
      </c>
      <c r="D173" t="s">
        <v>1580</v>
      </c>
      <c r="E173" t="str">
        <f t="shared" si="2"/>
        <v>NR</v>
      </c>
      <c r="I173" t="s">
        <v>1581</v>
      </c>
    </row>
    <row r="174" spans="1:25" x14ac:dyDescent="0.3">
      <c r="A174" s="279" t="s">
        <v>1582</v>
      </c>
      <c r="B174" s="278" t="s">
        <v>1583</v>
      </c>
      <c r="C174" s="276" t="s">
        <v>1584</v>
      </c>
      <c r="D174" t="s">
        <v>1585</v>
      </c>
      <c r="E174" t="str">
        <f t="shared" si="2"/>
        <v>NT</v>
      </c>
      <c r="I174" t="s">
        <v>1586</v>
      </c>
    </row>
    <row r="175" spans="1:25" x14ac:dyDescent="0.3">
      <c r="A175" s="279" t="s">
        <v>1587</v>
      </c>
      <c r="B175" s="278" t="s">
        <v>1588</v>
      </c>
      <c r="C175" s="276" t="s">
        <v>1589</v>
      </c>
      <c r="D175" t="s">
        <v>1590</v>
      </c>
      <c r="E175" t="str">
        <f t="shared" si="2"/>
        <v>NU</v>
      </c>
      <c r="I175" t="s">
        <v>1591</v>
      </c>
    </row>
    <row r="176" spans="1:25" x14ac:dyDescent="0.3">
      <c r="A176" s="279" t="s">
        <v>1592</v>
      </c>
      <c r="B176" s="275" t="s">
        <v>1593</v>
      </c>
      <c r="C176" s="276" t="s">
        <v>1594</v>
      </c>
      <c r="D176" t="s">
        <v>1595</v>
      </c>
      <c r="E176" t="str">
        <f t="shared" si="2"/>
        <v>NZ</v>
      </c>
      <c r="I176" t="s">
        <v>1596</v>
      </c>
    </row>
    <row r="177" spans="1:9" x14ac:dyDescent="0.3">
      <c r="A177" s="279" t="s">
        <v>1597</v>
      </c>
      <c r="B177" s="278" t="s">
        <v>1598</v>
      </c>
      <c r="C177" s="276" t="s">
        <v>1599</v>
      </c>
      <c r="D177" t="s">
        <v>1600</v>
      </c>
      <c r="E177" t="str">
        <f t="shared" si="2"/>
        <v>OM</v>
      </c>
      <c r="I177" t="s">
        <v>1601</v>
      </c>
    </row>
    <row r="178" spans="1:9" x14ac:dyDescent="0.3">
      <c r="A178" s="279" t="s">
        <v>1602</v>
      </c>
      <c r="B178" s="278" t="s">
        <v>1603</v>
      </c>
      <c r="C178" s="276" t="s">
        <v>1604</v>
      </c>
      <c r="D178" t="s">
        <v>1605</v>
      </c>
      <c r="E178" t="str">
        <f t="shared" si="2"/>
        <v>PA</v>
      </c>
      <c r="I178" t="s">
        <v>1606</v>
      </c>
    </row>
    <row r="179" spans="1:9" x14ac:dyDescent="0.3">
      <c r="A179" s="279" t="s">
        <v>1607</v>
      </c>
      <c r="B179" s="278" t="s">
        <v>1608</v>
      </c>
      <c r="C179" s="276" t="s">
        <v>1609</v>
      </c>
      <c r="D179" t="s">
        <v>1610</v>
      </c>
      <c r="E179" t="str">
        <f t="shared" si="2"/>
        <v>PE</v>
      </c>
      <c r="I179" t="s">
        <v>1611</v>
      </c>
    </row>
    <row r="180" spans="1:9" x14ac:dyDescent="0.3">
      <c r="A180" s="279" t="s">
        <v>1612</v>
      </c>
      <c r="B180" s="278" t="s">
        <v>1613</v>
      </c>
      <c r="C180" s="276" t="s">
        <v>1614</v>
      </c>
      <c r="D180" t="s">
        <v>1615</v>
      </c>
      <c r="E180" t="str">
        <f t="shared" si="2"/>
        <v>PF</v>
      </c>
      <c r="I180" t="s">
        <v>1616</v>
      </c>
    </row>
    <row r="181" spans="1:9" x14ac:dyDescent="0.3">
      <c r="A181" s="279" t="s">
        <v>1617</v>
      </c>
      <c r="B181" s="278" t="s">
        <v>1618</v>
      </c>
      <c r="C181" s="276" t="s">
        <v>1619</v>
      </c>
      <c r="D181" t="s">
        <v>1620</v>
      </c>
      <c r="E181" t="str">
        <f t="shared" si="2"/>
        <v>PG</v>
      </c>
      <c r="I181" t="s">
        <v>1621</v>
      </c>
    </row>
    <row r="182" spans="1:9" x14ac:dyDescent="0.3">
      <c r="A182" s="275" t="s">
        <v>865</v>
      </c>
      <c r="B182" s="278" t="s">
        <v>1622</v>
      </c>
      <c r="C182" s="276" t="s">
        <v>1623</v>
      </c>
      <c r="D182" t="s">
        <v>1624</v>
      </c>
      <c r="E182" t="str">
        <f t="shared" si="2"/>
        <v>PH</v>
      </c>
      <c r="I182" t="s">
        <v>1625</v>
      </c>
    </row>
    <row r="183" spans="1:9" x14ac:dyDescent="0.3">
      <c r="A183" s="278" t="s">
        <v>873</v>
      </c>
      <c r="B183" s="278" t="s">
        <v>1626</v>
      </c>
      <c r="C183" s="276" t="s">
        <v>1627</v>
      </c>
      <c r="D183" t="s">
        <v>1628</v>
      </c>
      <c r="E183" t="str">
        <f t="shared" si="2"/>
        <v>PK</v>
      </c>
      <c r="I183" t="s">
        <v>1629</v>
      </c>
    </row>
    <row r="184" spans="1:9" x14ac:dyDescent="0.3">
      <c r="A184" s="279" t="s">
        <v>1630</v>
      </c>
      <c r="B184" s="276" t="s">
        <v>1631</v>
      </c>
      <c r="C184" s="276" t="s">
        <v>1632</v>
      </c>
      <c r="D184" t="s">
        <v>1633</v>
      </c>
      <c r="E184" t="str">
        <f t="shared" si="2"/>
        <v>PL</v>
      </c>
      <c r="I184" t="s">
        <v>1634</v>
      </c>
    </row>
    <row r="185" spans="1:9" x14ac:dyDescent="0.3">
      <c r="A185" s="279" t="s">
        <v>1635</v>
      </c>
      <c r="B185" s="275" t="s">
        <v>1636</v>
      </c>
      <c r="C185" s="276" t="s">
        <v>1637</v>
      </c>
      <c r="D185" t="s">
        <v>1638</v>
      </c>
      <c r="E185" t="str">
        <f t="shared" si="2"/>
        <v>PM</v>
      </c>
      <c r="I185" t="s">
        <v>1639</v>
      </c>
    </row>
    <row r="186" spans="1:9" x14ac:dyDescent="0.3">
      <c r="A186" s="278" t="s">
        <v>880</v>
      </c>
      <c r="B186" s="278" t="s">
        <v>1640</v>
      </c>
      <c r="C186" s="276" t="s">
        <v>1641</v>
      </c>
      <c r="D186" t="s">
        <v>1642</v>
      </c>
      <c r="E186" t="str">
        <f t="shared" si="2"/>
        <v>PN</v>
      </c>
      <c r="I186" t="s">
        <v>1643</v>
      </c>
    </row>
    <row r="187" spans="1:9" x14ac:dyDescent="0.3">
      <c r="A187" s="279" t="s">
        <v>1644</v>
      </c>
      <c r="B187" s="278" t="s">
        <v>1645</v>
      </c>
      <c r="C187" s="276" t="s">
        <v>1646</v>
      </c>
      <c r="D187" t="s">
        <v>1647</v>
      </c>
      <c r="E187" t="str">
        <f t="shared" si="2"/>
        <v>PR</v>
      </c>
      <c r="I187" t="s">
        <v>1648</v>
      </c>
    </row>
    <row r="188" spans="1:9" x14ac:dyDescent="0.3">
      <c r="A188" s="279" t="s">
        <v>1649</v>
      </c>
      <c r="B188" s="278" t="s">
        <v>1650</v>
      </c>
      <c r="C188" s="276" t="s">
        <v>1651</v>
      </c>
      <c r="D188" t="s">
        <v>1652</v>
      </c>
      <c r="E188" t="str">
        <f t="shared" si="2"/>
        <v>PS</v>
      </c>
      <c r="I188" t="s">
        <v>1653</v>
      </c>
    </row>
    <row r="189" spans="1:9" x14ac:dyDescent="0.3">
      <c r="A189" s="279" t="s">
        <v>1654</v>
      </c>
      <c r="B189" s="278" t="s">
        <v>1655</v>
      </c>
      <c r="C189" s="276" t="s">
        <v>1656</v>
      </c>
      <c r="D189" t="s">
        <v>1657</v>
      </c>
      <c r="E189" t="str">
        <f t="shared" si="2"/>
        <v>PT</v>
      </c>
      <c r="I189" t="s">
        <v>1658</v>
      </c>
    </row>
    <row r="190" spans="1:9" x14ac:dyDescent="0.3">
      <c r="A190" s="279" t="s">
        <v>1659</v>
      </c>
      <c r="B190" s="278" t="s">
        <v>1660</v>
      </c>
      <c r="C190" s="276" t="s">
        <v>1661</v>
      </c>
      <c r="D190" t="s">
        <v>1662</v>
      </c>
      <c r="E190" t="str">
        <f t="shared" si="2"/>
        <v>PW</v>
      </c>
      <c r="I190" t="s">
        <v>1663</v>
      </c>
    </row>
    <row r="191" spans="1:9" x14ac:dyDescent="0.3">
      <c r="A191" s="279" t="s">
        <v>1664</v>
      </c>
      <c r="B191" s="278" t="s">
        <v>1665</v>
      </c>
      <c r="C191" s="276" t="s">
        <v>1666</v>
      </c>
      <c r="D191" t="s">
        <v>1667</v>
      </c>
      <c r="E191" t="str">
        <f t="shared" si="2"/>
        <v>PY</v>
      </c>
      <c r="I191" t="s">
        <v>1668</v>
      </c>
    </row>
    <row r="192" spans="1:9" x14ac:dyDescent="0.3">
      <c r="A192" s="275" t="s">
        <v>887</v>
      </c>
      <c r="B192" s="278" t="s">
        <v>1669</v>
      </c>
      <c r="C192" s="276" t="s">
        <v>1670</v>
      </c>
      <c r="D192" t="s">
        <v>1671</v>
      </c>
      <c r="E192" t="str">
        <f t="shared" si="2"/>
        <v>QA</v>
      </c>
      <c r="I192" t="s">
        <v>1672</v>
      </c>
    </row>
    <row r="193" spans="1:9" x14ac:dyDescent="0.3">
      <c r="A193" s="278" t="s">
        <v>895</v>
      </c>
      <c r="B193" s="278" t="s">
        <v>1673</v>
      </c>
      <c r="C193" s="276" t="s">
        <v>1674</v>
      </c>
      <c r="D193" t="s">
        <v>1675</v>
      </c>
      <c r="E193" t="str">
        <f t="shared" si="2"/>
        <v>RE</v>
      </c>
      <c r="I193" t="s">
        <v>1676</v>
      </c>
    </row>
    <row r="194" spans="1:9" x14ac:dyDescent="0.3">
      <c r="A194" s="279" t="s">
        <v>1677</v>
      </c>
      <c r="B194" s="278" t="s">
        <v>1678</v>
      </c>
      <c r="C194" s="276" t="s">
        <v>1679</v>
      </c>
      <c r="D194" t="s">
        <v>1680</v>
      </c>
      <c r="E194" t="str">
        <f t="shared" si="2"/>
        <v>RO</v>
      </c>
      <c r="I194" t="s">
        <v>1681</v>
      </c>
    </row>
    <row r="195" spans="1:9" x14ac:dyDescent="0.3">
      <c r="A195" s="279" t="s">
        <v>1682</v>
      </c>
      <c r="B195" s="275" t="s">
        <v>1683</v>
      </c>
      <c r="C195" s="276" t="s">
        <v>1684</v>
      </c>
      <c r="D195" t="s">
        <v>1685</v>
      </c>
      <c r="E195" t="str">
        <f t="shared" ref="E195:E257" si="3">RIGHT(D195,2)</f>
        <v>RS</v>
      </c>
      <c r="I195" t="s">
        <v>1686</v>
      </c>
    </row>
    <row r="196" spans="1:9" x14ac:dyDescent="0.3">
      <c r="A196" s="279" t="s">
        <v>1687</v>
      </c>
      <c r="B196" s="278" t="s">
        <v>1688</v>
      </c>
      <c r="C196" s="276" t="s">
        <v>1689</v>
      </c>
      <c r="D196" t="s">
        <v>1690</v>
      </c>
      <c r="E196" t="str">
        <f t="shared" si="3"/>
        <v>RU</v>
      </c>
      <c r="I196" t="s">
        <v>1691</v>
      </c>
    </row>
    <row r="197" spans="1:9" x14ac:dyDescent="0.3">
      <c r="A197" s="279" t="s">
        <v>1692</v>
      </c>
      <c r="B197" s="278" t="s">
        <v>1693</v>
      </c>
      <c r="C197" s="276" t="s">
        <v>1694</v>
      </c>
      <c r="D197" t="s">
        <v>1695</v>
      </c>
      <c r="E197" t="str">
        <f t="shared" si="3"/>
        <v>RW</v>
      </c>
      <c r="I197" t="s">
        <v>1696</v>
      </c>
    </row>
    <row r="198" spans="1:9" x14ac:dyDescent="0.3">
      <c r="A198" s="278" t="s">
        <v>902</v>
      </c>
      <c r="B198" s="278" t="s">
        <v>1697</v>
      </c>
      <c r="C198" s="276" t="s">
        <v>1698</v>
      </c>
      <c r="D198" t="s">
        <v>1699</v>
      </c>
      <c r="E198" t="str">
        <f t="shared" si="3"/>
        <v>SA</v>
      </c>
      <c r="I198" t="s">
        <v>1700</v>
      </c>
    </row>
    <row r="199" spans="1:9" x14ac:dyDescent="0.3">
      <c r="A199" s="279" t="s">
        <v>1701</v>
      </c>
      <c r="B199" s="278" t="s">
        <v>1702</v>
      </c>
      <c r="C199" s="276" t="s">
        <v>1703</v>
      </c>
      <c r="D199" t="s">
        <v>1704</v>
      </c>
      <c r="E199" t="str">
        <f t="shared" si="3"/>
        <v>SB</v>
      </c>
      <c r="I199" t="s">
        <v>1705</v>
      </c>
    </row>
    <row r="200" spans="1:9" x14ac:dyDescent="0.3">
      <c r="A200" s="275" t="s">
        <v>910</v>
      </c>
      <c r="B200" s="278" t="s">
        <v>1706</v>
      </c>
      <c r="C200" s="276" t="s">
        <v>1707</v>
      </c>
      <c r="D200" t="s">
        <v>1708</v>
      </c>
      <c r="E200" t="str">
        <f t="shared" si="3"/>
        <v>SC</v>
      </c>
      <c r="I200" t="s">
        <v>1709</v>
      </c>
    </row>
    <row r="201" spans="1:9" x14ac:dyDescent="0.3">
      <c r="A201" s="278" t="s">
        <v>917</v>
      </c>
      <c r="B201" s="278" t="s">
        <v>1710</v>
      </c>
      <c r="C201" s="276" t="s">
        <v>1711</v>
      </c>
      <c r="D201" t="s">
        <v>1712</v>
      </c>
      <c r="E201" t="str">
        <f t="shared" si="3"/>
        <v>SD</v>
      </c>
      <c r="I201" t="s">
        <v>1713</v>
      </c>
    </row>
    <row r="202" spans="1:9" x14ac:dyDescent="0.3">
      <c r="A202" s="279" t="s">
        <v>1714</v>
      </c>
      <c r="B202" s="278" t="s">
        <v>1715</v>
      </c>
      <c r="C202" s="276" t="s">
        <v>1716</v>
      </c>
      <c r="D202" t="s">
        <v>1717</v>
      </c>
      <c r="E202" t="str">
        <f t="shared" si="3"/>
        <v>SE</v>
      </c>
      <c r="I202" t="s">
        <v>1718</v>
      </c>
    </row>
    <row r="203" spans="1:9" x14ac:dyDescent="0.3">
      <c r="A203" s="278" t="s">
        <v>924</v>
      </c>
      <c r="B203" s="278" t="s">
        <v>1719</v>
      </c>
      <c r="C203" s="276" t="s">
        <v>1720</v>
      </c>
      <c r="D203" t="s">
        <v>1721</v>
      </c>
      <c r="E203" t="str">
        <f t="shared" si="3"/>
        <v>SG</v>
      </c>
      <c r="I203" t="s">
        <v>1722</v>
      </c>
    </row>
    <row r="204" spans="1:9" x14ac:dyDescent="0.3">
      <c r="A204" s="279" t="s">
        <v>1723</v>
      </c>
      <c r="B204" s="278" t="s">
        <v>1724</v>
      </c>
      <c r="C204" s="276" t="s">
        <v>1725</v>
      </c>
      <c r="D204" t="s">
        <v>1726</v>
      </c>
      <c r="E204" t="str">
        <f t="shared" si="3"/>
        <v>SH</v>
      </c>
      <c r="I204" t="s">
        <v>1727</v>
      </c>
    </row>
    <row r="205" spans="1:9" x14ac:dyDescent="0.3">
      <c r="A205" s="275" t="s">
        <v>932</v>
      </c>
      <c r="B205" s="276" t="s">
        <v>1728</v>
      </c>
      <c r="C205" s="276" t="s">
        <v>1729</v>
      </c>
      <c r="D205" t="s">
        <v>1730</v>
      </c>
      <c r="E205" t="str">
        <f t="shared" si="3"/>
        <v>SI</v>
      </c>
      <c r="I205" t="s">
        <v>1731</v>
      </c>
    </row>
    <row r="206" spans="1:9" x14ac:dyDescent="0.3">
      <c r="A206" s="278" t="s">
        <v>939</v>
      </c>
      <c r="B206" s="275" t="s">
        <v>1732</v>
      </c>
      <c r="C206" s="276" t="s">
        <v>1733</v>
      </c>
      <c r="D206" t="s">
        <v>1734</v>
      </c>
      <c r="E206" t="str">
        <f t="shared" si="3"/>
        <v>SJ</v>
      </c>
      <c r="I206" t="s">
        <v>1735</v>
      </c>
    </row>
    <row r="207" spans="1:9" x14ac:dyDescent="0.3">
      <c r="A207" s="279" t="s">
        <v>1736</v>
      </c>
      <c r="B207" s="278" t="s">
        <v>1737</v>
      </c>
      <c r="C207" s="276" t="s">
        <v>1738</v>
      </c>
      <c r="D207" t="s">
        <v>1739</v>
      </c>
      <c r="E207" t="str">
        <f t="shared" si="3"/>
        <v>SK</v>
      </c>
      <c r="I207" t="s">
        <v>1740</v>
      </c>
    </row>
    <row r="208" spans="1:9" x14ac:dyDescent="0.3">
      <c r="A208" s="279" t="s">
        <v>1741</v>
      </c>
      <c r="B208" s="278" t="s">
        <v>1742</v>
      </c>
      <c r="C208" s="276" t="s">
        <v>1743</v>
      </c>
      <c r="D208" t="s">
        <v>1744</v>
      </c>
      <c r="E208" t="str">
        <f t="shared" si="3"/>
        <v>SL</v>
      </c>
      <c r="I208" t="s">
        <v>1745</v>
      </c>
    </row>
    <row r="209" spans="1:9" x14ac:dyDescent="0.3">
      <c r="A209" s="279" t="s">
        <v>1746</v>
      </c>
      <c r="B209" s="278" t="s">
        <v>1747</v>
      </c>
      <c r="C209" s="276" t="s">
        <v>1748</v>
      </c>
      <c r="D209" t="s">
        <v>1749</v>
      </c>
      <c r="E209" t="str">
        <f t="shared" si="3"/>
        <v>SM</v>
      </c>
      <c r="I209" t="s">
        <v>1750</v>
      </c>
    </row>
    <row r="210" spans="1:9" x14ac:dyDescent="0.3">
      <c r="A210" s="279" t="s">
        <v>1751</v>
      </c>
      <c r="B210" s="278" t="s">
        <v>1752</v>
      </c>
      <c r="C210" s="276" t="s">
        <v>1753</v>
      </c>
      <c r="D210" t="s">
        <v>1754</v>
      </c>
      <c r="E210" t="str">
        <f t="shared" si="3"/>
        <v>SN</v>
      </c>
      <c r="I210" t="s">
        <v>1755</v>
      </c>
    </row>
    <row r="211" spans="1:9" x14ac:dyDescent="0.3">
      <c r="A211" s="279" t="s">
        <v>1756</v>
      </c>
      <c r="B211" s="278" t="s">
        <v>1757</v>
      </c>
      <c r="C211" s="276" t="s">
        <v>1758</v>
      </c>
      <c r="D211" t="s">
        <v>1759</v>
      </c>
      <c r="E211" t="str">
        <f t="shared" si="3"/>
        <v>SO</v>
      </c>
      <c r="I211" t="s">
        <v>1760</v>
      </c>
    </row>
    <row r="212" spans="1:9" x14ac:dyDescent="0.3">
      <c r="A212" s="279" t="s">
        <v>1761</v>
      </c>
      <c r="B212" s="275" t="s">
        <v>1762</v>
      </c>
      <c r="C212" s="276" t="s">
        <v>1763</v>
      </c>
      <c r="D212" t="s">
        <v>1764</v>
      </c>
      <c r="E212" t="str">
        <f t="shared" si="3"/>
        <v>SR</v>
      </c>
      <c r="I212" t="s">
        <v>1765</v>
      </c>
    </row>
    <row r="213" spans="1:9" x14ac:dyDescent="0.3">
      <c r="A213" s="279" t="s">
        <v>1766</v>
      </c>
      <c r="B213" s="278" t="s">
        <v>1767</v>
      </c>
      <c r="C213" s="276" t="s">
        <v>1768</v>
      </c>
      <c r="D213" t="s">
        <v>1769</v>
      </c>
      <c r="E213" t="str">
        <f t="shared" si="3"/>
        <v>SS</v>
      </c>
      <c r="I213" t="s">
        <v>1770</v>
      </c>
    </row>
    <row r="214" spans="1:9" x14ac:dyDescent="0.3">
      <c r="A214" s="278" t="s">
        <v>947</v>
      </c>
      <c r="B214" s="278" t="s">
        <v>1771</v>
      </c>
      <c r="C214" s="276" t="s">
        <v>1772</v>
      </c>
      <c r="D214" t="s">
        <v>1773</v>
      </c>
      <c r="E214" t="str">
        <f t="shared" si="3"/>
        <v>ST</v>
      </c>
      <c r="I214" t="s">
        <v>1774</v>
      </c>
    </row>
    <row r="215" spans="1:9" x14ac:dyDescent="0.3">
      <c r="A215" s="279" t="s">
        <v>1775</v>
      </c>
      <c r="B215" s="278" t="s">
        <v>1776</v>
      </c>
      <c r="C215" s="276" t="s">
        <v>1777</v>
      </c>
      <c r="D215" t="s">
        <v>1778</v>
      </c>
      <c r="E215" t="str">
        <f t="shared" si="3"/>
        <v>SV</v>
      </c>
      <c r="I215" t="s">
        <v>1779</v>
      </c>
    </row>
    <row r="216" spans="1:9" x14ac:dyDescent="0.3">
      <c r="A216" s="278" t="s">
        <v>955</v>
      </c>
      <c r="B216" s="278" t="s">
        <v>1780</v>
      </c>
      <c r="C216" s="276" t="s">
        <v>1781</v>
      </c>
      <c r="D216" t="s">
        <v>1782</v>
      </c>
      <c r="E216" t="str">
        <f t="shared" si="3"/>
        <v>SX</v>
      </c>
      <c r="I216" t="s">
        <v>1783</v>
      </c>
    </row>
    <row r="217" spans="1:9" x14ac:dyDescent="0.3">
      <c r="A217" s="279" t="s">
        <v>1784</v>
      </c>
      <c r="B217" s="275" t="s">
        <v>1785</v>
      </c>
      <c r="C217" s="276" t="s">
        <v>1786</v>
      </c>
      <c r="D217" t="s">
        <v>1787</v>
      </c>
      <c r="E217" t="str">
        <f t="shared" si="3"/>
        <v>SY</v>
      </c>
      <c r="I217" t="s">
        <v>1788</v>
      </c>
    </row>
    <row r="218" spans="1:9" x14ac:dyDescent="0.3">
      <c r="A218" s="278" t="s">
        <v>962</v>
      </c>
      <c r="B218" s="278" t="s">
        <v>1789</v>
      </c>
      <c r="C218" s="276" t="s">
        <v>1790</v>
      </c>
      <c r="D218" t="s">
        <v>1791</v>
      </c>
      <c r="E218" t="str">
        <f t="shared" si="3"/>
        <v>SZ</v>
      </c>
      <c r="I218" t="s">
        <v>1792</v>
      </c>
    </row>
    <row r="219" spans="1:9" x14ac:dyDescent="0.3">
      <c r="A219" s="279" t="s">
        <v>1793</v>
      </c>
      <c r="B219" s="278" t="s">
        <v>1794</v>
      </c>
      <c r="C219" s="276" t="s">
        <v>1795</v>
      </c>
      <c r="D219" t="s">
        <v>1796</v>
      </c>
      <c r="E219" t="str">
        <f t="shared" si="3"/>
        <v>TC</v>
      </c>
      <c r="I219" t="s">
        <v>1797</v>
      </c>
    </row>
    <row r="220" spans="1:9" x14ac:dyDescent="0.3">
      <c r="A220" s="279" t="s">
        <v>1798</v>
      </c>
      <c r="B220" s="275" t="s">
        <v>1799</v>
      </c>
      <c r="C220" s="276" t="s">
        <v>1800</v>
      </c>
      <c r="D220" t="s">
        <v>1801</v>
      </c>
      <c r="E220" t="str">
        <f t="shared" si="3"/>
        <v>TD</v>
      </c>
      <c r="I220" t="s">
        <v>1802</v>
      </c>
    </row>
    <row r="221" spans="1:9" x14ac:dyDescent="0.3">
      <c r="A221" s="278" t="s">
        <v>969</v>
      </c>
      <c r="B221" s="278" t="s">
        <v>1803</v>
      </c>
      <c r="C221" s="276" t="s">
        <v>1804</v>
      </c>
      <c r="D221" t="s">
        <v>1805</v>
      </c>
      <c r="E221" t="str">
        <f t="shared" si="3"/>
        <v>TF</v>
      </c>
      <c r="I221" t="s">
        <v>1806</v>
      </c>
    </row>
    <row r="222" spans="1:9" x14ac:dyDescent="0.3">
      <c r="A222" s="279" t="s">
        <v>1807</v>
      </c>
      <c r="B222" s="278" t="s">
        <v>1808</v>
      </c>
      <c r="C222" s="276" t="s">
        <v>1809</v>
      </c>
      <c r="D222" t="s">
        <v>1810</v>
      </c>
      <c r="E222" t="str">
        <f t="shared" si="3"/>
        <v>TG</v>
      </c>
      <c r="I222" t="s">
        <v>1811</v>
      </c>
    </row>
    <row r="223" spans="1:9" x14ac:dyDescent="0.3">
      <c r="A223" s="279" t="s">
        <v>1812</v>
      </c>
      <c r="B223" s="278" t="s">
        <v>1813</v>
      </c>
      <c r="C223" s="276" t="s">
        <v>1814</v>
      </c>
      <c r="D223" t="s">
        <v>1815</v>
      </c>
      <c r="E223" t="str">
        <f t="shared" si="3"/>
        <v>TH</v>
      </c>
      <c r="I223" t="s">
        <v>1816</v>
      </c>
    </row>
    <row r="224" spans="1:9" x14ac:dyDescent="0.3">
      <c r="A224" s="278" t="s">
        <v>977</v>
      </c>
      <c r="B224" s="275" t="s">
        <v>1817</v>
      </c>
      <c r="C224" s="276" t="s">
        <v>1818</v>
      </c>
      <c r="D224" t="s">
        <v>1819</v>
      </c>
      <c r="E224" t="str">
        <f t="shared" si="3"/>
        <v>TJ</v>
      </c>
      <c r="I224" t="s">
        <v>1820</v>
      </c>
    </row>
    <row r="225" spans="1:9" x14ac:dyDescent="0.3">
      <c r="A225" s="279" t="s">
        <v>1821</v>
      </c>
      <c r="B225" s="278" t="s">
        <v>1822</v>
      </c>
      <c r="C225" s="276" t="s">
        <v>1823</v>
      </c>
      <c r="D225" t="s">
        <v>1824</v>
      </c>
      <c r="E225" t="str">
        <f t="shared" si="3"/>
        <v>TK</v>
      </c>
      <c r="I225" t="s">
        <v>1825</v>
      </c>
    </row>
    <row r="226" spans="1:9" x14ac:dyDescent="0.3">
      <c r="A226" s="275" t="s">
        <v>985</v>
      </c>
      <c r="B226" s="278" t="s">
        <v>1826</v>
      </c>
      <c r="C226" s="276" t="s">
        <v>1827</v>
      </c>
      <c r="D226" t="s">
        <v>1828</v>
      </c>
      <c r="E226" t="str">
        <f t="shared" si="3"/>
        <v>TL</v>
      </c>
      <c r="I226" t="s">
        <v>1829</v>
      </c>
    </row>
    <row r="227" spans="1:9" x14ac:dyDescent="0.3">
      <c r="A227" s="278" t="s">
        <v>992</v>
      </c>
      <c r="B227" s="278" t="s">
        <v>1830</v>
      </c>
      <c r="C227" s="276" t="s">
        <v>1831</v>
      </c>
      <c r="D227" t="s">
        <v>1832</v>
      </c>
      <c r="E227" t="str">
        <f t="shared" si="3"/>
        <v>TM</v>
      </c>
      <c r="I227" t="s">
        <v>1833</v>
      </c>
    </row>
    <row r="228" spans="1:9" x14ac:dyDescent="0.3">
      <c r="A228" s="279" t="s">
        <v>1834</v>
      </c>
      <c r="B228" s="276" t="s">
        <v>1835</v>
      </c>
      <c r="C228" s="276" t="s">
        <v>1836</v>
      </c>
      <c r="D228" t="s">
        <v>1837</v>
      </c>
      <c r="E228" t="str">
        <f t="shared" si="3"/>
        <v>TN</v>
      </c>
      <c r="I228" t="s">
        <v>1838</v>
      </c>
    </row>
    <row r="229" spans="1:9" x14ac:dyDescent="0.3">
      <c r="A229" s="278" t="s">
        <v>1000</v>
      </c>
      <c r="B229" s="275" t="s">
        <v>1839</v>
      </c>
      <c r="C229" s="276" t="s">
        <v>1840</v>
      </c>
      <c r="D229" t="s">
        <v>1841</v>
      </c>
      <c r="E229" t="str">
        <f t="shared" si="3"/>
        <v>TO</v>
      </c>
      <c r="I229" t="s">
        <v>1842</v>
      </c>
    </row>
    <row r="230" spans="1:9" x14ac:dyDescent="0.3">
      <c r="A230" s="279" t="s">
        <v>1843</v>
      </c>
      <c r="B230" s="278" t="s">
        <v>1844</v>
      </c>
      <c r="C230" s="276" t="s">
        <v>1845</v>
      </c>
      <c r="D230" t="s">
        <v>1846</v>
      </c>
      <c r="E230" t="str">
        <f t="shared" si="3"/>
        <v>TP</v>
      </c>
      <c r="I230" t="s">
        <v>1847</v>
      </c>
    </row>
    <row r="231" spans="1:9" x14ac:dyDescent="0.3">
      <c r="A231" s="275" t="s">
        <v>1008</v>
      </c>
      <c r="B231" s="278" t="s">
        <v>1848</v>
      </c>
      <c r="C231" s="276" t="s">
        <v>1849</v>
      </c>
      <c r="D231" t="s">
        <v>1850</v>
      </c>
      <c r="E231" t="str">
        <f t="shared" si="3"/>
        <v>TR</v>
      </c>
      <c r="I231" t="s">
        <v>1851</v>
      </c>
    </row>
    <row r="232" spans="1:9" x14ac:dyDescent="0.3">
      <c r="A232" s="278" t="s">
        <v>1016</v>
      </c>
      <c r="B232" s="278" t="s">
        <v>1852</v>
      </c>
      <c r="C232" s="276" t="s">
        <v>1853</v>
      </c>
      <c r="D232" t="s">
        <v>1854</v>
      </c>
      <c r="E232" t="str">
        <f t="shared" si="3"/>
        <v>TT</v>
      </c>
      <c r="I232" t="s">
        <v>1855</v>
      </c>
    </row>
    <row r="233" spans="1:9" x14ac:dyDescent="0.3">
      <c r="A233" s="279" t="s">
        <v>1856</v>
      </c>
      <c r="B233" s="278" t="s">
        <v>1857</v>
      </c>
      <c r="C233" s="276" t="s">
        <v>1858</v>
      </c>
      <c r="D233" t="s">
        <v>1859</v>
      </c>
      <c r="E233" t="str">
        <f t="shared" si="3"/>
        <v>TV</v>
      </c>
      <c r="I233" t="s">
        <v>1860</v>
      </c>
    </row>
    <row r="234" spans="1:9" x14ac:dyDescent="0.3">
      <c r="A234" s="279" t="s">
        <v>1861</v>
      </c>
      <c r="B234" s="278" t="s">
        <v>1862</v>
      </c>
      <c r="C234" s="276" t="s">
        <v>1863</v>
      </c>
      <c r="D234" t="s">
        <v>1864</v>
      </c>
      <c r="E234" t="str">
        <f t="shared" si="3"/>
        <v>TW</v>
      </c>
      <c r="I234" t="s">
        <v>1865</v>
      </c>
    </row>
    <row r="235" spans="1:9" x14ac:dyDescent="0.3">
      <c r="A235" s="278" t="s">
        <v>1024</v>
      </c>
      <c r="B235" s="275" t="s">
        <v>1866</v>
      </c>
      <c r="C235" s="276" t="s">
        <v>1867</v>
      </c>
      <c r="D235" t="s">
        <v>1868</v>
      </c>
      <c r="E235" t="str">
        <f t="shared" si="3"/>
        <v>TZ</v>
      </c>
      <c r="I235" t="s">
        <v>1869</v>
      </c>
    </row>
    <row r="236" spans="1:9" x14ac:dyDescent="0.3">
      <c r="A236" s="279" t="s">
        <v>1870</v>
      </c>
      <c r="B236" s="278" t="s">
        <v>1871</v>
      </c>
      <c r="C236" s="276" t="s">
        <v>1872</v>
      </c>
      <c r="D236" t="s">
        <v>1873</v>
      </c>
      <c r="E236" t="str">
        <f t="shared" si="3"/>
        <v>UA</v>
      </c>
      <c r="I236" t="s">
        <v>1874</v>
      </c>
    </row>
    <row r="237" spans="1:9" x14ac:dyDescent="0.3">
      <c r="A237" s="279" t="s">
        <v>1875</v>
      </c>
      <c r="B237" s="278" t="s">
        <v>1876</v>
      </c>
      <c r="C237" s="276" t="s">
        <v>1877</v>
      </c>
      <c r="D237" t="s">
        <v>1878</v>
      </c>
      <c r="E237" t="str">
        <f t="shared" si="3"/>
        <v>UG</v>
      </c>
      <c r="I237" t="s">
        <v>1879</v>
      </c>
    </row>
    <row r="238" spans="1:9" x14ac:dyDescent="0.3">
      <c r="A238" s="279" t="s">
        <v>1880</v>
      </c>
      <c r="B238" s="279" t="s">
        <v>1881</v>
      </c>
      <c r="C238" s="276" t="s">
        <v>1882</v>
      </c>
      <c r="D238" t="s">
        <v>1883</v>
      </c>
      <c r="E238" t="str">
        <f t="shared" si="3"/>
        <v>UM</v>
      </c>
      <c r="I238" t="s">
        <v>1884</v>
      </c>
    </row>
    <row r="239" spans="1:9" x14ac:dyDescent="0.3">
      <c r="A239" s="279" t="s">
        <v>1885</v>
      </c>
      <c r="B239" s="278" t="s">
        <v>1886</v>
      </c>
      <c r="C239" s="276" t="s">
        <v>1887</v>
      </c>
      <c r="D239" t="s">
        <v>1888</v>
      </c>
      <c r="E239" t="str">
        <f t="shared" si="3"/>
        <v>US</v>
      </c>
      <c r="I239" t="s">
        <v>1889</v>
      </c>
    </row>
    <row r="240" spans="1:9" x14ac:dyDescent="0.3">
      <c r="A240" s="279" t="s">
        <v>1890</v>
      </c>
      <c r="B240" s="278" t="s">
        <v>1891</v>
      </c>
      <c r="C240" s="276" t="s">
        <v>1892</v>
      </c>
      <c r="D240" t="s">
        <v>1893</v>
      </c>
      <c r="E240" t="str">
        <f t="shared" si="3"/>
        <v>UY</v>
      </c>
      <c r="I240" t="s">
        <v>1894</v>
      </c>
    </row>
    <row r="241" spans="1:9" x14ac:dyDescent="0.3">
      <c r="A241" s="279" t="s">
        <v>1895</v>
      </c>
      <c r="B241" s="276" t="s">
        <v>1896</v>
      </c>
      <c r="C241" s="276" t="s">
        <v>1897</v>
      </c>
      <c r="D241" t="s">
        <v>1898</v>
      </c>
      <c r="E241" t="str">
        <f t="shared" si="3"/>
        <v>UZ</v>
      </c>
      <c r="I241" t="s">
        <v>1899</v>
      </c>
    </row>
    <row r="242" spans="1:9" x14ac:dyDescent="0.3">
      <c r="A242" s="275" t="s">
        <v>1031</v>
      </c>
      <c r="B242" s="275" t="s">
        <v>1900</v>
      </c>
      <c r="C242" s="276" t="s">
        <v>1901</v>
      </c>
      <c r="D242" t="s">
        <v>1902</v>
      </c>
      <c r="E242" t="str">
        <f t="shared" si="3"/>
        <v>VA</v>
      </c>
      <c r="I242" t="s">
        <v>1903</v>
      </c>
    </row>
    <row r="243" spans="1:9" x14ac:dyDescent="0.3">
      <c r="A243" s="278" t="s">
        <v>1038</v>
      </c>
      <c r="B243" s="278" t="s">
        <v>1904</v>
      </c>
      <c r="C243" s="276" t="s">
        <v>1905</v>
      </c>
      <c r="D243" t="s">
        <v>1906</v>
      </c>
      <c r="E243" t="str">
        <f t="shared" si="3"/>
        <v>VC</v>
      </c>
      <c r="I243" t="s">
        <v>1907</v>
      </c>
    </row>
    <row r="244" spans="1:9" x14ac:dyDescent="0.3">
      <c r="A244" s="279" t="s">
        <v>1908</v>
      </c>
      <c r="B244" s="278" t="s">
        <v>1909</v>
      </c>
      <c r="C244" s="276" t="s">
        <v>1910</v>
      </c>
      <c r="D244" t="s">
        <v>1911</v>
      </c>
      <c r="E244" t="str">
        <f t="shared" si="3"/>
        <v>VE</v>
      </c>
      <c r="I244" t="s">
        <v>1912</v>
      </c>
    </row>
    <row r="245" spans="1:9" x14ac:dyDescent="0.3">
      <c r="A245" s="279" t="s">
        <v>1913</v>
      </c>
      <c r="B245" s="275" t="s">
        <v>1914</v>
      </c>
      <c r="C245" s="276" t="s">
        <v>1915</v>
      </c>
      <c r="D245" t="s">
        <v>1916</v>
      </c>
      <c r="E245" t="str">
        <f t="shared" si="3"/>
        <v>VG</v>
      </c>
      <c r="I245" t="s">
        <v>1917</v>
      </c>
    </row>
    <row r="246" spans="1:9" x14ac:dyDescent="0.3">
      <c r="A246" s="279" t="s">
        <v>1918</v>
      </c>
      <c r="B246" s="278" t="s">
        <v>1919</v>
      </c>
      <c r="C246" s="276" t="s">
        <v>1920</v>
      </c>
      <c r="D246" t="s">
        <v>1921</v>
      </c>
      <c r="E246" t="str">
        <f t="shared" si="3"/>
        <v>VI</v>
      </c>
      <c r="I246" t="s">
        <v>1922</v>
      </c>
    </row>
    <row r="247" spans="1:9" x14ac:dyDescent="0.3">
      <c r="A247" s="279" t="s">
        <v>1923</v>
      </c>
      <c r="B247" s="278" t="s">
        <v>1924</v>
      </c>
      <c r="C247" s="276" t="s">
        <v>1925</v>
      </c>
      <c r="D247" t="s">
        <v>1926</v>
      </c>
      <c r="E247" t="str">
        <f t="shared" si="3"/>
        <v>VN</v>
      </c>
      <c r="I247" t="s">
        <v>1927</v>
      </c>
    </row>
    <row r="248" spans="1:9" x14ac:dyDescent="0.3">
      <c r="A248" s="279" t="s">
        <v>1928</v>
      </c>
      <c r="B248" s="275" t="s">
        <v>1929</v>
      </c>
      <c r="C248" s="276" t="s">
        <v>1930</v>
      </c>
      <c r="D248" t="s">
        <v>1931</v>
      </c>
      <c r="E248" t="str">
        <f t="shared" si="3"/>
        <v>VU</v>
      </c>
      <c r="I248" t="s">
        <v>1932</v>
      </c>
    </row>
    <row r="249" spans="1:9" x14ac:dyDescent="0.3">
      <c r="A249" s="278" t="s">
        <v>1046</v>
      </c>
      <c r="B249" s="278" t="s">
        <v>1933</v>
      </c>
      <c r="C249" s="276" t="s">
        <v>1934</v>
      </c>
      <c r="D249" t="s">
        <v>1935</v>
      </c>
      <c r="E249" t="str">
        <f t="shared" si="3"/>
        <v>WF</v>
      </c>
      <c r="I249" t="s">
        <v>1936</v>
      </c>
    </row>
    <row r="250" spans="1:9" x14ac:dyDescent="0.3">
      <c r="A250" s="279" t="s">
        <v>1937</v>
      </c>
      <c r="B250" s="278" t="s">
        <v>1938</v>
      </c>
      <c r="C250" s="276" t="s">
        <v>1939</v>
      </c>
      <c r="D250" t="s">
        <v>1940</v>
      </c>
      <c r="E250" t="str">
        <f t="shared" si="3"/>
        <v>WS</v>
      </c>
      <c r="I250" t="s">
        <v>1941</v>
      </c>
    </row>
    <row r="251" spans="1:9" x14ac:dyDescent="0.3">
      <c r="A251" s="278" t="s">
        <v>1053</v>
      </c>
      <c r="B251" s="278" t="s">
        <v>1942</v>
      </c>
      <c r="C251" s="276" t="s">
        <v>1943</v>
      </c>
      <c r="D251" t="s">
        <v>1944</v>
      </c>
      <c r="E251" t="str">
        <f t="shared" si="3"/>
        <v>YE</v>
      </c>
      <c r="I251" t="s">
        <v>1945</v>
      </c>
    </row>
    <row r="252" spans="1:9" x14ac:dyDescent="0.3">
      <c r="A252" s="279" t="s">
        <v>1946</v>
      </c>
      <c r="B252" s="276" t="s">
        <v>1947</v>
      </c>
      <c r="C252" s="276" t="s">
        <v>1948</v>
      </c>
      <c r="D252" t="s">
        <v>1949</v>
      </c>
      <c r="E252" t="str">
        <f t="shared" si="3"/>
        <v>YT</v>
      </c>
      <c r="I252" t="s">
        <v>1950</v>
      </c>
    </row>
    <row r="253" spans="1:9" x14ac:dyDescent="0.3">
      <c r="A253" s="279" t="s">
        <v>1951</v>
      </c>
      <c r="B253" s="275" t="s">
        <v>1952</v>
      </c>
      <c r="C253" s="276" t="s">
        <v>1953</v>
      </c>
      <c r="D253" t="s">
        <v>1954</v>
      </c>
      <c r="E253" t="str">
        <f t="shared" si="3"/>
        <v>YU</v>
      </c>
      <c r="I253" t="s">
        <v>1955</v>
      </c>
    </row>
    <row r="254" spans="1:9" x14ac:dyDescent="0.3">
      <c r="A254" s="278" t="s">
        <v>1061</v>
      </c>
      <c r="B254" s="278" t="s">
        <v>1956</v>
      </c>
      <c r="C254" s="276" t="s">
        <v>1957</v>
      </c>
      <c r="D254" t="s">
        <v>1958</v>
      </c>
      <c r="E254" t="str">
        <f t="shared" si="3"/>
        <v>ZA</v>
      </c>
      <c r="I254" t="s">
        <v>1959</v>
      </c>
    </row>
    <row r="255" spans="1:9" x14ac:dyDescent="0.3">
      <c r="A255" s="279" t="s">
        <v>1960</v>
      </c>
      <c r="B255" s="278" t="s">
        <v>1961</v>
      </c>
      <c r="C255" s="276" t="s">
        <v>1962</v>
      </c>
      <c r="D255" t="s">
        <v>1963</v>
      </c>
      <c r="E255" t="str">
        <f t="shared" si="3"/>
        <v>ZM</v>
      </c>
      <c r="I255" t="s">
        <v>1964</v>
      </c>
    </row>
    <row r="256" spans="1:9" x14ac:dyDescent="0.3">
      <c r="A256" s="279" t="s">
        <v>1965</v>
      </c>
      <c r="B256" s="278" t="s">
        <v>1966</v>
      </c>
      <c r="C256" s="276" t="s">
        <v>1967</v>
      </c>
      <c r="D256" t="s">
        <v>1968</v>
      </c>
      <c r="E256" t="str">
        <f t="shared" si="3"/>
        <v>ZR</v>
      </c>
      <c r="I256" t="s">
        <v>1969</v>
      </c>
    </row>
    <row r="257" spans="1:9" x14ac:dyDescent="0.3">
      <c r="A257" s="279" t="s">
        <v>1970</v>
      </c>
      <c r="B257" s="275" t="s">
        <v>1971</v>
      </c>
      <c r="C257" s="276" t="s">
        <v>1972</v>
      </c>
      <c r="D257" t="s">
        <v>1973</v>
      </c>
      <c r="E257" t="str">
        <f t="shared" si="3"/>
        <v>ZW</v>
      </c>
      <c r="I257" t="s">
        <v>1974</v>
      </c>
    </row>
    <row r="258" spans="1:9" x14ac:dyDescent="0.3">
      <c r="A258" s="279" t="s">
        <v>1975</v>
      </c>
      <c r="B258" s="278" t="s">
        <v>1976</v>
      </c>
      <c r="I258" t="s">
        <v>1977</v>
      </c>
    </row>
    <row r="259" spans="1:9" x14ac:dyDescent="0.3">
      <c r="A259" s="279" t="s">
        <v>1978</v>
      </c>
      <c r="B259" s="278" t="s">
        <v>1979</v>
      </c>
      <c r="I259" t="s">
        <v>1980</v>
      </c>
    </row>
    <row r="260" spans="1:9" x14ac:dyDescent="0.3">
      <c r="A260" s="278" t="s">
        <v>1069</v>
      </c>
      <c r="B260" s="278" t="s">
        <v>1981</v>
      </c>
      <c r="I260" t="s">
        <v>1982</v>
      </c>
    </row>
    <row r="261" spans="1:9" x14ac:dyDescent="0.3">
      <c r="A261" s="279" t="s">
        <v>1983</v>
      </c>
      <c r="B261" s="275" t="s">
        <v>1984</v>
      </c>
      <c r="I261" t="s">
        <v>1985</v>
      </c>
    </row>
    <row r="262" spans="1:9" x14ac:dyDescent="0.3">
      <c r="A262" s="279" t="s">
        <v>1986</v>
      </c>
      <c r="B262" s="278" t="s">
        <v>1987</v>
      </c>
      <c r="I262" t="s">
        <v>1988</v>
      </c>
    </row>
    <row r="263" spans="1:9" x14ac:dyDescent="0.3">
      <c r="A263" s="278" t="s">
        <v>1076</v>
      </c>
      <c r="B263" s="278" t="s">
        <v>1989</v>
      </c>
      <c r="I263" t="s">
        <v>1990</v>
      </c>
    </row>
    <row r="264" spans="1:9" x14ac:dyDescent="0.3">
      <c r="A264" s="279" t="s">
        <v>1991</v>
      </c>
      <c r="B264" s="276" t="s">
        <v>1992</v>
      </c>
      <c r="I264" t="s">
        <v>1993</v>
      </c>
    </row>
    <row r="265" spans="1:9" x14ac:dyDescent="0.3">
      <c r="A265" s="279" t="s">
        <v>1994</v>
      </c>
      <c r="B265" s="275" t="s">
        <v>1995</v>
      </c>
      <c r="I265" t="s">
        <v>1996</v>
      </c>
    </row>
    <row r="266" spans="1:9" x14ac:dyDescent="0.3">
      <c r="A266" s="279" t="s">
        <v>1997</v>
      </c>
      <c r="B266" s="278" t="s">
        <v>1998</v>
      </c>
      <c r="I266" t="s">
        <v>1999</v>
      </c>
    </row>
    <row r="267" spans="1:9" x14ac:dyDescent="0.3">
      <c r="A267" s="279" t="s">
        <v>2000</v>
      </c>
      <c r="B267" s="278" t="s">
        <v>2001</v>
      </c>
      <c r="I267" t="s">
        <v>2002</v>
      </c>
    </row>
    <row r="268" spans="1:9" x14ac:dyDescent="0.3">
      <c r="A268" s="279" t="s">
        <v>2003</v>
      </c>
      <c r="B268" s="278" t="s">
        <v>2004</v>
      </c>
      <c r="I268" t="s">
        <v>2005</v>
      </c>
    </row>
    <row r="269" spans="1:9" x14ac:dyDescent="0.3">
      <c r="A269" s="279" t="s">
        <v>2006</v>
      </c>
      <c r="B269" s="278" t="s">
        <v>2007</v>
      </c>
      <c r="I269" t="s">
        <v>2008</v>
      </c>
    </row>
    <row r="270" spans="1:9" x14ac:dyDescent="0.3">
      <c r="A270" s="278" t="s">
        <v>1083</v>
      </c>
      <c r="B270" s="275" t="s">
        <v>2009</v>
      </c>
      <c r="I270" t="s">
        <v>2010</v>
      </c>
    </row>
    <row r="271" spans="1:9" x14ac:dyDescent="0.3">
      <c r="A271" s="279" t="s">
        <v>2011</v>
      </c>
      <c r="B271" s="278" t="s">
        <v>2012</v>
      </c>
      <c r="I271" t="s">
        <v>2013</v>
      </c>
    </row>
    <row r="272" spans="1:9" x14ac:dyDescent="0.3">
      <c r="A272" s="278" t="s">
        <v>1091</v>
      </c>
      <c r="B272" s="278" t="s">
        <v>2014</v>
      </c>
      <c r="I272" t="s">
        <v>2015</v>
      </c>
    </row>
    <row r="273" spans="1:9" x14ac:dyDescent="0.3">
      <c r="A273" s="279" t="s">
        <v>2016</v>
      </c>
      <c r="B273" s="278" t="s">
        <v>2017</v>
      </c>
      <c r="I273" t="s">
        <v>2018</v>
      </c>
    </row>
    <row r="274" spans="1:9" x14ac:dyDescent="0.3">
      <c r="A274" s="279" t="s">
        <v>2019</v>
      </c>
      <c r="B274" s="275" t="s">
        <v>2020</v>
      </c>
      <c r="I274" t="s">
        <v>2021</v>
      </c>
    </row>
    <row r="275" spans="1:9" x14ac:dyDescent="0.3">
      <c r="A275" s="275" t="s">
        <v>1099</v>
      </c>
      <c r="B275" s="278" t="s">
        <v>2022</v>
      </c>
      <c r="I275" t="s">
        <v>2023</v>
      </c>
    </row>
    <row r="276" spans="1:9" x14ac:dyDescent="0.3">
      <c r="A276" s="278" t="s">
        <v>1107</v>
      </c>
      <c r="B276" s="278" t="s">
        <v>2024</v>
      </c>
      <c r="I276" t="s">
        <v>2025</v>
      </c>
    </row>
    <row r="277" spans="1:9" x14ac:dyDescent="0.3">
      <c r="A277" s="279" t="s">
        <v>2026</v>
      </c>
      <c r="B277" s="278" t="s">
        <v>2027</v>
      </c>
      <c r="I277" t="s">
        <v>2028</v>
      </c>
    </row>
    <row r="278" spans="1:9" x14ac:dyDescent="0.3">
      <c r="A278" s="278" t="s">
        <v>1113</v>
      </c>
      <c r="B278" s="276" t="s">
        <v>2029</v>
      </c>
      <c r="I278" t="s">
        <v>2030</v>
      </c>
    </row>
    <row r="279" spans="1:9" x14ac:dyDescent="0.3">
      <c r="A279" s="279" t="s">
        <v>2031</v>
      </c>
      <c r="B279" s="275" t="s">
        <v>2032</v>
      </c>
      <c r="I279" t="s">
        <v>2033</v>
      </c>
    </row>
    <row r="280" spans="1:9" x14ac:dyDescent="0.3">
      <c r="A280" s="278" t="s">
        <v>1120</v>
      </c>
      <c r="B280" s="278" t="s">
        <v>2034</v>
      </c>
      <c r="I280" t="s">
        <v>2035</v>
      </c>
    </row>
    <row r="281" spans="1:9" x14ac:dyDescent="0.3">
      <c r="A281" s="279" t="s">
        <v>2036</v>
      </c>
      <c r="B281" s="278" t="s">
        <v>2037</v>
      </c>
      <c r="I281" t="s">
        <v>2038</v>
      </c>
    </row>
    <row r="282" spans="1:9" x14ac:dyDescent="0.3">
      <c r="A282" s="279" t="s">
        <v>2039</v>
      </c>
      <c r="B282" s="278" t="s">
        <v>2040</v>
      </c>
      <c r="I282" t="s">
        <v>2041</v>
      </c>
    </row>
    <row r="283" spans="1:9" x14ac:dyDescent="0.3">
      <c r="A283" s="279" t="s">
        <v>2042</v>
      </c>
      <c r="B283" s="276" t="s">
        <v>2043</v>
      </c>
      <c r="I283" t="s">
        <v>2044</v>
      </c>
    </row>
    <row r="284" spans="1:9" x14ac:dyDescent="0.3">
      <c r="A284" s="279" t="s">
        <v>2045</v>
      </c>
      <c r="B284" s="275" t="s">
        <v>2046</v>
      </c>
      <c r="I284" t="s">
        <v>2047</v>
      </c>
    </row>
    <row r="285" spans="1:9" x14ac:dyDescent="0.3">
      <c r="A285" s="278" t="s">
        <v>1126</v>
      </c>
      <c r="B285" s="278" t="s">
        <v>2048</v>
      </c>
      <c r="I285" t="s">
        <v>2049</v>
      </c>
    </row>
    <row r="286" spans="1:9" x14ac:dyDescent="0.3">
      <c r="A286" s="279" t="s">
        <v>2050</v>
      </c>
      <c r="B286" s="278" t="s">
        <v>2051</v>
      </c>
      <c r="I286" t="s">
        <v>2052</v>
      </c>
    </row>
    <row r="287" spans="1:9" x14ac:dyDescent="0.3">
      <c r="A287" s="279" t="s">
        <v>2053</v>
      </c>
      <c r="B287" s="275" t="s">
        <v>2054</v>
      </c>
      <c r="I287" t="s">
        <v>2055</v>
      </c>
    </row>
    <row r="288" spans="1:9" x14ac:dyDescent="0.3">
      <c r="A288" s="279" t="s">
        <v>2056</v>
      </c>
      <c r="B288" s="278" t="s">
        <v>2057</v>
      </c>
      <c r="I288" t="s">
        <v>2058</v>
      </c>
    </row>
    <row r="289" spans="1:9" x14ac:dyDescent="0.3">
      <c r="A289" s="279" t="s">
        <v>2059</v>
      </c>
      <c r="B289" s="278" t="s">
        <v>2060</v>
      </c>
      <c r="I289" t="s">
        <v>2061</v>
      </c>
    </row>
    <row r="290" spans="1:9" x14ac:dyDescent="0.3">
      <c r="A290" s="279" t="s">
        <v>2062</v>
      </c>
      <c r="B290" s="275" t="s">
        <v>2063</v>
      </c>
      <c r="I290" t="s">
        <v>2064</v>
      </c>
    </row>
    <row r="291" spans="1:9" x14ac:dyDescent="0.3">
      <c r="A291" s="279" t="s">
        <v>2065</v>
      </c>
      <c r="B291" s="278" t="s">
        <v>2066</v>
      </c>
      <c r="I291" t="s">
        <v>2067</v>
      </c>
    </row>
    <row r="292" spans="1:9" x14ac:dyDescent="0.3">
      <c r="A292" s="278" t="s">
        <v>1133</v>
      </c>
      <c r="B292" s="278" t="s">
        <v>2068</v>
      </c>
      <c r="I292" t="s">
        <v>2069</v>
      </c>
    </row>
    <row r="293" spans="1:9" x14ac:dyDescent="0.3">
      <c r="A293" s="279" t="s">
        <v>2070</v>
      </c>
      <c r="B293" s="275" t="s">
        <v>2071</v>
      </c>
      <c r="I293" t="s">
        <v>2072</v>
      </c>
    </row>
    <row r="294" spans="1:9" x14ac:dyDescent="0.3">
      <c r="A294" s="279" t="s">
        <v>2073</v>
      </c>
      <c r="B294" s="278" t="s">
        <v>2074</v>
      </c>
      <c r="I294" t="s">
        <v>2075</v>
      </c>
    </row>
    <row r="295" spans="1:9" x14ac:dyDescent="0.3">
      <c r="A295" s="279" t="s">
        <v>2076</v>
      </c>
      <c r="B295" s="278" t="s">
        <v>2077</v>
      </c>
      <c r="I295" t="s">
        <v>2078</v>
      </c>
    </row>
    <row r="296" spans="1:9" x14ac:dyDescent="0.3">
      <c r="A296" s="279" t="s">
        <v>2079</v>
      </c>
      <c r="B296" s="275" t="s">
        <v>2080</v>
      </c>
      <c r="I296" t="s">
        <v>2081</v>
      </c>
    </row>
    <row r="297" spans="1:9" x14ac:dyDescent="0.3">
      <c r="A297" s="275" t="s">
        <v>1140</v>
      </c>
      <c r="B297" s="278" t="s">
        <v>2082</v>
      </c>
      <c r="I297" t="s">
        <v>2083</v>
      </c>
    </row>
    <row r="298" spans="1:9" x14ac:dyDescent="0.3">
      <c r="A298" s="278" t="s">
        <v>1147</v>
      </c>
      <c r="B298" s="278" t="s">
        <v>2084</v>
      </c>
      <c r="I298" t="s">
        <v>2085</v>
      </c>
    </row>
    <row r="299" spans="1:9" x14ac:dyDescent="0.3">
      <c r="A299" s="279" t="s">
        <v>2086</v>
      </c>
      <c r="B299" s="278" t="s">
        <v>2087</v>
      </c>
      <c r="I299" t="s">
        <v>2088</v>
      </c>
    </row>
    <row r="300" spans="1:9" x14ac:dyDescent="0.3">
      <c r="A300" s="279" t="s">
        <v>2089</v>
      </c>
      <c r="B300" s="275" t="s">
        <v>2090</v>
      </c>
      <c r="I300" t="s">
        <v>2091</v>
      </c>
    </row>
    <row r="301" spans="1:9" x14ac:dyDescent="0.3">
      <c r="A301" s="278" t="s">
        <v>1153</v>
      </c>
      <c r="B301" s="278" t="s">
        <v>2092</v>
      </c>
      <c r="I301" t="s">
        <v>2093</v>
      </c>
    </row>
    <row r="302" spans="1:9" x14ac:dyDescent="0.3">
      <c r="A302" s="279" t="s">
        <v>2094</v>
      </c>
      <c r="B302" s="278" t="s">
        <v>2095</v>
      </c>
      <c r="I302" t="s">
        <v>2096</v>
      </c>
    </row>
    <row r="303" spans="1:9" x14ac:dyDescent="0.3">
      <c r="A303" s="279" t="s">
        <v>2097</v>
      </c>
      <c r="B303" s="278" t="s">
        <v>2098</v>
      </c>
      <c r="I303" t="s">
        <v>2099</v>
      </c>
    </row>
    <row r="304" spans="1:9" x14ac:dyDescent="0.3">
      <c r="A304" s="278" t="s">
        <v>1160</v>
      </c>
      <c r="B304" s="278" t="s">
        <v>2100</v>
      </c>
      <c r="I304" t="s">
        <v>2101</v>
      </c>
    </row>
    <row r="305" spans="1:9" x14ac:dyDescent="0.3">
      <c r="A305" s="279" t="s">
        <v>2102</v>
      </c>
      <c r="B305" s="275" t="s">
        <v>2103</v>
      </c>
      <c r="I305" t="s">
        <v>2104</v>
      </c>
    </row>
    <row r="306" spans="1:9" x14ac:dyDescent="0.3">
      <c r="A306" s="278" t="s">
        <v>1167</v>
      </c>
      <c r="B306" s="278" t="s">
        <v>2105</v>
      </c>
      <c r="I306" t="s">
        <v>2106</v>
      </c>
    </row>
    <row r="307" spans="1:9" x14ac:dyDescent="0.3">
      <c r="A307" s="279" t="s">
        <v>2107</v>
      </c>
      <c r="B307" s="276" t="s">
        <v>2108</v>
      </c>
      <c r="I307" t="s">
        <v>2109</v>
      </c>
    </row>
    <row r="308" spans="1:9" x14ac:dyDescent="0.3">
      <c r="A308" s="278" t="s">
        <v>1173</v>
      </c>
      <c r="B308" s="275" t="s">
        <v>2110</v>
      </c>
      <c r="I308" t="s">
        <v>2111</v>
      </c>
    </row>
    <row r="309" spans="1:9" x14ac:dyDescent="0.3">
      <c r="A309" s="279" t="s">
        <v>2112</v>
      </c>
      <c r="B309" s="278" t="s">
        <v>2113</v>
      </c>
      <c r="I309" t="s">
        <v>2114</v>
      </c>
    </row>
    <row r="310" spans="1:9" x14ac:dyDescent="0.3">
      <c r="A310" s="279" t="s">
        <v>2115</v>
      </c>
      <c r="B310" s="278" t="s">
        <v>2116</v>
      </c>
      <c r="I310" t="s">
        <v>2117</v>
      </c>
    </row>
    <row r="311" spans="1:9" x14ac:dyDescent="0.3">
      <c r="A311" s="279" t="s">
        <v>2118</v>
      </c>
      <c r="B311" s="278" t="s">
        <v>2119</v>
      </c>
      <c r="I311" t="s">
        <v>2120</v>
      </c>
    </row>
    <row r="312" spans="1:9" x14ac:dyDescent="0.3">
      <c r="A312" s="278" t="s">
        <v>1180</v>
      </c>
      <c r="B312" s="278" t="s">
        <v>2121</v>
      </c>
      <c r="I312" t="s">
        <v>2122</v>
      </c>
    </row>
    <row r="313" spans="1:9" x14ac:dyDescent="0.3">
      <c r="A313" s="279" t="s">
        <v>2123</v>
      </c>
      <c r="B313" s="278" t="s">
        <v>2124</v>
      </c>
      <c r="I313" t="s">
        <v>2125</v>
      </c>
    </row>
    <row r="314" spans="1:9" x14ac:dyDescent="0.3">
      <c r="A314" s="279" t="s">
        <v>2126</v>
      </c>
      <c r="B314" s="275" t="s">
        <v>2127</v>
      </c>
      <c r="I314" t="s">
        <v>2128</v>
      </c>
    </row>
    <row r="315" spans="1:9" x14ac:dyDescent="0.3">
      <c r="A315" s="279" t="s">
        <v>2129</v>
      </c>
      <c r="B315" s="278" t="s">
        <v>2130</v>
      </c>
      <c r="I315" t="s">
        <v>2131</v>
      </c>
    </row>
    <row r="316" spans="1:9" x14ac:dyDescent="0.3">
      <c r="A316" s="278" t="s">
        <v>1187</v>
      </c>
      <c r="B316" s="278" t="s">
        <v>2132</v>
      </c>
      <c r="I316" t="s">
        <v>2133</v>
      </c>
    </row>
    <row r="317" spans="1:9" x14ac:dyDescent="0.3">
      <c r="A317" s="279" t="s">
        <v>2134</v>
      </c>
      <c r="B317" s="275" t="s">
        <v>2135</v>
      </c>
      <c r="I317" t="s">
        <v>2136</v>
      </c>
    </row>
    <row r="318" spans="1:9" x14ac:dyDescent="0.3">
      <c r="A318" s="279" t="s">
        <v>2137</v>
      </c>
      <c r="B318" s="278" t="s">
        <v>2138</v>
      </c>
      <c r="I318" t="s">
        <v>2139</v>
      </c>
    </row>
    <row r="319" spans="1:9" x14ac:dyDescent="0.3">
      <c r="A319" s="279" t="s">
        <v>2140</v>
      </c>
      <c r="B319" s="278" t="s">
        <v>2141</v>
      </c>
      <c r="I319" t="s">
        <v>2142</v>
      </c>
    </row>
    <row r="320" spans="1:9" x14ac:dyDescent="0.3">
      <c r="A320" s="279" t="s">
        <v>2143</v>
      </c>
      <c r="B320" s="275" t="s">
        <v>2144</v>
      </c>
      <c r="I320" t="s">
        <v>2145</v>
      </c>
    </row>
    <row r="321" spans="1:9" x14ac:dyDescent="0.3">
      <c r="A321" s="279" t="s">
        <v>2146</v>
      </c>
      <c r="B321" s="278" t="s">
        <v>2147</v>
      </c>
      <c r="I321" t="s">
        <v>2148</v>
      </c>
    </row>
    <row r="322" spans="1:9" x14ac:dyDescent="0.3">
      <c r="A322" s="275" t="s">
        <v>1193</v>
      </c>
      <c r="B322" s="275" t="s">
        <v>2149</v>
      </c>
      <c r="I322" t="s">
        <v>2150</v>
      </c>
    </row>
    <row r="323" spans="1:9" x14ac:dyDescent="0.3">
      <c r="A323" s="278" t="s">
        <v>1200</v>
      </c>
      <c r="B323" s="278" t="s">
        <v>2151</v>
      </c>
      <c r="I323" t="s">
        <v>2152</v>
      </c>
    </row>
    <row r="324" spans="1:9" x14ac:dyDescent="0.3">
      <c r="A324" s="279" t="s">
        <v>2153</v>
      </c>
      <c r="B324" s="278" t="s">
        <v>2154</v>
      </c>
      <c r="I324" t="s">
        <v>2155</v>
      </c>
    </row>
    <row r="325" spans="1:9" x14ac:dyDescent="0.3">
      <c r="A325" s="279" t="s">
        <v>2156</v>
      </c>
      <c r="B325" s="278" t="s">
        <v>2157</v>
      </c>
      <c r="I325" t="s">
        <v>2158</v>
      </c>
    </row>
    <row r="326" spans="1:9" x14ac:dyDescent="0.3">
      <c r="A326" s="278" t="s">
        <v>1207</v>
      </c>
      <c r="B326" s="275" t="s">
        <v>2159</v>
      </c>
      <c r="I326" t="s">
        <v>2160</v>
      </c>
    </row>
    <row r="327" spans="1:9" x14ac:dyDescent="0.3">
      <c r="A327" s="279" t="s">
        <v>2161</v>
      </c>
      <c r="B327" s="278" t="s">
        <v>2162</v>
      </c>
      <c r="I327" t="s">
        <v>2163</v>
      </c>
    </row>
    <row r="328" spans="1:9" x14ac:dyDescent="0.3">
      <c r="A328" s="278" t="s">
        <v>1213</v>
      </c>
      <c r="B328" s="278" t="s">
        <v>2164</v>
      </c>
      <c r="I328" t="s">
        <v>2165</v>
      </c>
    </row>
    <row r="329" spans="1:9" x14ac:dyDescent="0.3">
      <c r="A329" s="279" t="s">
        <v>2166</v>
      </c>
      <c r="B329" s="278" t="s">
        <v>2167</v>
      </c>
      <c r="I329" t="s">
        <v>2168</v>
      </c>
    </row>
    <row r="330" spans="1:9" x14ac:dyDescent="0.3">
      <c r="A330" s="278" t="s">
        <v>1220</v>
      </c>
      <c r="B330" s="278" t="s">
        <v>2169</v>
      </c>
      <c r="I330" t="s">
        <v>2170</v>
      </c>
    </row>
    <row r="331" spans="1:9" x14ac:dyDescent="0.3">
      <c r="A331" s="279" t="s">
        <v>2171</v>
      </c>
      <c r="B331" s="278" t="s">
        <v>2172</v>
      </c>
      <c r="I331" t="s">
        <v>2173</v>
      </c>
    </row>
    <row r="332" spans="1:9" x14ac:dyDescent="0.3">
      <c r="A332" s="278" t="s">
        <v>1227</v>
      </c>
      <c r="B332" s="276" t="s">
        <v>2174</v>
      </c>
      <c r="I332" t="s">
        <v>2175</v>
      </c>
    </row>
    <row r="333" spans="1:9" x14ac:dyDescent="0.3">
      <c r="A333" s="279" t="s">
        <v>2176</v>
      </c>
      <c r="B333" s="275" t="s">
        <v>2177</v>
      </c>
      <c r="I333" t="s">
        <v>2178</v>
      </c>
    </row>
    <row r="334" spans="1:9" x14ac:dyDescent="0.3">
      <c r="A334" s="279" t="s">
        <v>2179</v>
      </c>
      <c r="B334" s="278" t="s">
        <v>2180</v>
      </c>
      <c r="I334" t="s">
        <v>2181</v>
      </c>
    </row>
    <row r="335" spans="1:9" x14ac:dyDescent="0.3">
      <c r="A335" s="278" t="s">
        <v>1234</v>
      </c>
      <c r="B335" s="278" t="s">
        <v>2182</v>
      </c>
      <c r="I335" t="s">
        <v>2183</v>
      </c>
    </row>
    <row r="336" spans="1:9" x14ac:dyDescent="0.3">
      <c r="A336" s="279" t="s">
        <v>2184</v>
      </c>
      <c r="B336" s="278" t="s">
        <v>2185</v>
      </c>
      <c r="I336" t="s">
        <v>2186</v>
      </c>
    </row>
    <row r="337" spans="1:9" x14ac:dyDescent="0.3">
      <c r="A337" s="278" t="s">
        <v>1240</v>
      </c>
      <c r="B337" s="276" t="s">
        <v>2187</v>
      </c>
      <c r="I337" t="s">
        <v>2188</v>
      </c>
    </row>
    <row r="338" spans="1:9" x14ac:dyDescent="0.3">
      <c r="A338" s="279" t="s">
        <v>2189</v>
      </c>
      <c r="B338" s="275" t="s">
        <v>2190</v>
      </c>
      <c r="I338" t="s">
        <v>2191</v>
      </c>
    </row>
    <row r="339" spans="1:9" x14ac:dyDescent="0.3">
      <c r="A339" s="275" t="s">
        <v>1247</v>
      </c>
      <c r="B339" s="278" t="s">
        <v>2192</v>
      </c>
      <c r="I339" t="s">
        <v>2193</v>
      </c>
    </row>
    <row r="340" spans="1:9" x14ac:dyDescent="0.3">
      <c r="A340" s="278" t="s">
        <v>1254</v>
      </c>
      <c r="B340" s="278" t="s">
        <v>2194</v>
      </c>
      <c r="I340" t="s">
        <v>2195</v>
      </c>
    </row>
    <row r="341" spans="1:9" x14ac:dyDescent="0.3">
      <c r="A341" s="279" t="s">
        <v>2196</v>
      </c>
      <c r="B341" s="278" t="s">
        <v>2197</v>
      </c>
      <c r="I341" t="s">
        <v>2198</v>
      </c>
    </row>
    <row r="342" spans="1:9" x14ac:dyDescent="0.3">
      <c r="A342" s="279" t="s">
        <v>2199</v>
      </c>
      <c r="B342" s="278" t="s">
        <v>2200</v>
      </c>
      <c r="I342" t="s">
        <v>2201</v>
      </c>
    </row>
    <row r="343" spans="1:9" x14ac:dyDescent="0.3">
      <c r="A343" s="278" t="s">
        <v>1261</v>
      </c>
      <c r="B343" s="278" t="s">
        <v>2202</v>
      </c>
      <c r="I343" t="s">
        <v>2203</v>
      </c>
    </row>
    <row r="344" spans="1:9" x14ac:dyDescent="0.3">
      <c r="A344" s="279" t="s">
        <v>2204</v>
      </c>
      <c r="B344" s="278" t="s">
        <v>2205</v>
      </c>
      <c r="I344" t="s">
        <v>2206</v>
      </c>
    </row>
    <row r="345" spans="1:9" x14ac:dyDescent="0.3">
      <c r="A345" s="278" t="s">
        <v>1268</v>
      </c>
      <c r="B345" s="276" t="s">
        <v>2207</v>
      </c>
      <c r="I345" t="s">
        <v>2208</v>
      </c>
    </row>
    <row r="346" spans="1:9" x14ac:dyDescent="0.3">
      <c r="A346" s="279" t="s">
        <v>2209</v>
      </c>
      <c r="B346" s="275" t="s">
        <v>2210</v>
      </c>
      <c r="I346" t="s">
        <v>2211</v>
      </c>
    </row>
    <row r="347" spans="1:9" x14ac:dyDescent="0.3">
      <c r="A347" s="279" t="s">
        <v>2212</v>
      </c>
      <c r="B347" s="278" t="s">
        <v>2213</v>
      </c>
      <c r="I347" t="s">
        <v>2214</v>
      </c>
    </row>
    <row r="348" spans="1:9" x14ac:dyDescent="0.3">
      <c r="A348" s="279" t="s">
        <v>2215</v>
      </c>
      <c r="B348" s="278" t="s">
        <v>2216</v>
      </c>
      <c r="I348" t="s">
        <v>2217</v>
      </c>
    </row>
    <row r="349" spans="1:9" x14ac:dyDescent="0.3">
      <c r="A349" s="278" t="s">
        <v>1275</v>
      </c>
      <c r="B349" s="278" t="s">
        <v>2218</v>
      </c>
      <c r="I349" t="s">
        <v>2219</v>
      </c>
    </row>
    <row r="350" spans="1:9" x14ac:dyDescent="0.3">
      <c r="A350" s="279" t="s">
        <v>2220</v>
      </c>
      <c r="B350" s="275" t="s">
        <v>2221</v>
      </c>
      <c r="I350" t="s">
        <v>2222</v>
      </c>
    </row>
    <row r="351" spans="1:9" x14ac:dyDescent="0.3">
      <c r="A351" s="278" t="s">
        <v>1282</v>
      </c>
      <c r="B351" s="278" t="s">
        <v>2223</v>
      </c>
      <c r="I351" t="s">
        <v>2224</v>
      </c>
    </row>
    <row r="352" spans="1:9" x14ac:dyDescent="0.3">
      <c r="A352" s="279" t="s">
        <v>2225</v>
      </c>
      <c r="B352" s="278" t="s">
        <v>2226</v>
      </c>
      <c r="I352" t="s">
        <v>2227</v>
      </c>
    </row>
    <row r="353" spans="1:9" x14ac:dyDescent="0.3">
      <c r="A353" s="279" t="s">
        <v>2228</v>
      </c>
      <c r="B353" s="278" t="s">
        <v>2229</v>
      </c>
      <c r="I353" t="s">
        <v>2230</v>
      </c>
    </row>
    <row r="354" spans="1:9" x14ac:dyDescent="0.3">
      <c r="A354" s="278" t="s">
        <v>1289</v>
      </c>
      <c r="B354" s="278" t="s">
        <v>2231</v>
      </c>
      <c r="I354" t="s">
        <v>2232</v>
      </c>
    </row>
    <row r="355" spans="1:9" x14ac:dyDescent="0.3">
      <c r="A355" s="279" t="s">
        <v>2233</v>
      </c>
      <c r="B355" s="275" t="s">
        <v>2234</v>
      </c>
      <c r="I355" t="s">
        <v>2235</v>
      </c>
    </row>
    <row r="356" spans="1:9" x14ac:dyDescent="0.3">
      <c r="A356" s="275" t="s">
        <v>1295</v>
      </c>
      <c r="B356" s="278" t="s">
        <v>2236</v>
      </c>
      <c r="I356" t="s">
        <v>2237</v>
      </c>
    </row>
    <row r="357" spans="1:9" x14ac:dyDescent="0.3">
      <c r="A357" s="278" t="s">
        <v>1302</v>
      </c>
      <c r="B357" s="278" t="s">
        <v>2238</v>
      </c>
      <c r="I357" t="s">
        <v>2239</v>
      </c>
    </row>
    <row r="358" spans="1:9" x14ac:dyDescent="0.3">
      <c r="A358" s="279" t="s">
        <v>2240</v>
      </c>
      <c r="B358" s="276" t="s">
        <v>2241</v>
      </c>
      <c r="I358" t="s">
        <v>2242</v>
      </c>
    </row>
    <row r="359" spans="1:9" x14ac:dyDescent="0.3">
      <c r="A359" s="279" t="s">
        <v>2243</v>
      </c>
      <c r="B359" s="275" t="s">
        <v>2244</v>
      </c>
      <c r="I359" t="s">
        <v>2245</v>
      </c>
    </row>
    <row r="360" spans="1:9" x14ac:dyDescent="0.3">
      <c r="A360" s="279" t="s">
        <v>2246</v>
      </c>
      <c r="B360" s="278" t="s">
        <v>2247</v>
      </c>
      <c r="I360" t="s">
        <v>2248</v>
      </c>
    </row>
    <row r="361" spans="1:9" x14ac:dyDescent="0.3">
      <c r="A361" s="279" t="s">
        <v>2249</v>
      </c>
      <c r="B361" s="278" t="s">
        <v>2250</v>
      </c>
      <c r="I361" t="s">
        <v>2251</v>
      </c>
    </row>
    <row r="362" spans="1:9" x14ac:dyDescent="0.3">
      <c r="A362" s="279" t="s">
        <v>2252</v>
      </c>
      <c r="B362" s="278" t="s">
        <v>2253</v>
      </c>
      <c r="I362" t="s">
        <v>2254</v>
      </c>
    </row>
    <row r="363" spans="1:9" x14ac:dyDescent="0.3">
      <c r="A363" s="278" t="s">
        <v>1309</v>
      </c>
      <c r="B363" s="275" t="s">
        <v>2255</v>
      </c>
      <c r="I363" t="s">
        <v>2256</v>
      </c>
    </row>
    <row r="364" spans="1:9" x14ac:dyDescent="0.3">
      <c r="A364" s="279" t="s">
        <v>2257</v>
      </c>
      <c r="B364" s="278" t="s">
        <v>2258</v>
      </c>
      <c r="I364" t="s">
        <v>2259</v>
      </c>
    </row>
    <row r="365" spans="1:9" x14ac:dyDescent="0.3">
      <c r="A365" s="279" t="s">
        <v>2260</v>
      </c>
      <c r="B365" s="278" t="s">
        <v>2261</v>
      </c>
      <c r="I365" t="s">
        <v>2262</v>
      </c>
    </row>
    <row r="366" spans="1:9" x14ac:dyDescent="0.3">
      <c r="A366" s="279" t="s">
        <v>2263</v>
      </c>
      <c r="B366" s="278" t="s">
        <v>2264</v>
      </c>
      <c r="I366" t="s">
        <v>2265</v>
      </c>
    </row>
    <row r="367" spans="1:9" x14ac:dyDescent="0.3">
      <c r="A367" s="279" t="s">
        <v>2266</v>
      </c>
      <c r="B367" s="278" t="s">
        <v>2267</v>
      </c>
      <c r="I367" t="s">
        <v>2268</v>
      </c>
    </row>
    <row r="368" spans="1:9" x14ac:dyDescent="0.3">
      <c r="A368" s="279" t="s">
        <v>2269</v>
      </c>
      <c r="B368" s="275" t="s">
        <v>2270</v>
      </c>
      <c r="I368" t="s">
        <v>2271</v>
      </c>
    </row>
    <row r="369" spans="1:9" x14ac:dyDescent="0.3">
      <c r="A369" s="279" t="s">
        <v>2272</v>
      </c>
      <c r="B369" s="278" t="s">
        <v>2273</v>
      </c>
      <c r="I369" t="s">
        <v>2274</v>
      </c>
    </row>
    <row r="370" spans="1:9" x14ac:dyDescent="0.3">
      <c r="A370" s="278" t="s">
        <v>1315</v>
      </c>
      <c r="B370" s="275" t="s">
        <v>2275</v>
      </c>
      <c r="I370" t="s">
        <v>2276</v>
      </c>
    </row>
    <row r="371" spans="1:9" x14ac:dyDescent="0.3">
      <c r="A371" s="279" t="s">
        <v>2277</v>
      </c>
      <c r="B371" s="278" t="s">
        <v>2278</v>
      </c>
      <c r="I371" t="s">
        <v>2279</v>
      </c>
    </row>
    <row r="372" spans="1:9" x14ac:dyDescent="0.3">
      <c r="A372" s="278" t="s">
        <v>1321</v>
      </c>
      <c r="B372" s="278" t="s">
        <v>2280</v>
      </c>
      <c r="I372" t="s">
        <v>2281</v>
      </c>
    </row>
    <row r="373" spans="1:9" x14ac:dyDescent="0.3">
      <c r="A373" s="279" t="s">
        <v>2282</v>
      </c>
      <c r="B373" s="276" t="s">
        <v>2283</v>
      </c>
      <c r="I373" t="s">
        <v>2284</v>
      </c>
    </row>
    <row r="374" spans="1:9" x14ac:dyDescent="0.3">
      <c r="A374" s="279" t="s">
        <v>2285</v>
      </c>
      <c r="B374" s="275" t="s">
        <v>2286</v>
      </c>
      <c r="I374" t="s">
        <v>2287</v>
      </c>
    </row>
    <row r="375" spans="1:9" x14ac:dyDescent="0.3">
      <c r="A375" s="278" t="s">
        <v>1328</v>
      </c>
      <c r="B375" s="278" t="s">
        <v>2288</v>
      </c>
      <c r="I375" t="s">
        <v>2289</v>
      </c>
    </row>
    <row r="376" spans="1:9" x14ac:dyDescent="0.3">
      <c r="A376" s="279" t="s">
        <v>2290</v>
      </c>
      <c r="B376" s="278" t="s">
        <v>2291</v>
      </c>
      <c r="I376" t="s">
        <v>2292</v>
      </c>
    </row>
    <row r="377" spans="1:9" x14ac:dyDescent="0.3">
      <c r="A377" s="279" t="s">
        <v>2293</v>
      </c>
      <c r="B377" s="278" t="s">
        <v>2294</v>
      </c>
      <c r="I377" t="s">
        <v>2295</v>
      </c>
    </row>
    <row r="378" spans="1:9" x14ac:dyDescent="0.3">
      <c r="A378" s="279" t="s">
        <v>2296</v>
      </c>
      <c r="B378" s="275" t="s">
        <v>2297</v>
      </c>
      <c r="I378" t="s">
        <v>2298</v>
      </c>
    </row>
    <row r="379" spans="1:9" x14ac:dyDescent="0.3">
      <c r="A379" s="279" t="s">
        <v>2299</v>
      </c>
      <c r="B379" s="278" t="s">
        <v>2300</v>
      </c>
      <c r="I379" t="s">
        <v>2301</v>
      </c>
    </row>
    <row r="380" spans="1:9" x14ac:dyDescent="0.3">
      <c r="A380" s="279" t="s">
        <v>2302</v>
      </c>
      <c r="B380" s="278" t="s">
        <v>2303</v>
      </c>
      <c r="I380" t="s">
        <v>2304</v>
      </c>
    </row>
    <row r="381" spans="1:9" x14ac:dyDescent="0.3">
      <c r="A381" s="279" t="s">
        <v>2305</v>
      </c>
      <c r="B381" s="278" t="s">
        <v>2306</v>
      </c>
      <c r="I381" t="s">
        <v>2307</v>
      </c>
    </row>
    <row r="382" spans="1:9" x14ac:dyDescent="0.3">
      <c r="A382" s="279" t="s">
        <v>2308</v>
      </c>
      <c r="B382" s="278" t="s">
        <v>2309</v>
      </c>
      <c r="I382" t="s">
        <v>2310</v>
      </c>
    </row>
    <row r="383" spans="1:9" x14ac:dyDescent="0.3">
      <c r="A383" s="279" t="s">
        <v>2311</v>
      </c>
      <c r="B383" s="275" t="s">
        <v>2312</v>
      </c>
      <c r="I383" t="s">
        <v>2313</v>
      </c>
    </row>
    <row r="384" spans="1:9" x14ac:dyDescent="0.3">
      <c r="A384" s="275" t="s">
        <v>1335</v>
      </c>
      <c r="B384" s="278" t="s">
        <v>2314</v>
      </c>
      <c r="I384" t="s">
        <v>2315</v>
      </c>
    </row>
    <row r="385" spans="1:9" x14ac:dyDescent="0.3">
      <c r="A385" s="278" t="s">
        <v>1342</v>
      </c>
      <c r="B385" s="278" t="s">
        <v>2316</v>
      </c>
      <c r="I385" t="s">
        <v>2317</v>
      </c>
    </row>
    <row r="386" spans="1:9" x14ac:dyDescent="0.3">
      <c r="A386" s="279" t="s">
        <v>2318</v>
      </c>
      <c r="B386" s="278" t="s">
        <v>2319</v>
      </c>
      <c r="I386" t="s">
        <v>2320</v>
      </c>
    </row>
    <row r="387" spans="1:9" x14ac:dyDescent="0.3">
      <c r="A387" s="278" t="s">
        <v>1349</v>
      </c>
      <c r="B387" s="278" t="s">
        <v>2321</v>
      </c>
      <c r="I387" t="s">
        <v>2322</v>
      </c>
    </row>
    <row r="388" spans="1:9" x14ac:dyDescent="0.3">
      <c r="A388" s="279" t="s">
        <v>2323</v>
      </c>
      <c r="B388" s="278" t="s">
        <v>2324</v>
      </c>
      <c r="I388" t="s">
        <v>2325</v>
      </c>
    </row>
    <row r="389" spans="1:9" x14ac:dyDescent="0.3">
      <c r="A389" s="278" t="s">
        <v>1356</v>
      </c>
      <c r="B389" s="276" t="s">
        <v>2326</v>
      </c>
      <c r="I389" t="s">
        <v>2327</v>
      </c>
    </row>
    <row r="390" spans="1:9" x14ac:dyDescent="0.3">
      <c r="A390" s="279" t="s">
        <v>2328</v>
      </c>
      <c r="B390" s="275" t="s">
        <v>2329</v>
      </c>
      <c r="I390" t="s">
        <v>2330</v>
      </c>
    </row>
    <row r="391" spans="1:9" x14ac:dyDescent="0.3">
      <c r="A391" s="279" t="s">
        <v>2331</v>
      </c>
      <c r="B391" s="278" t="s">
        <v>2332</v>
      </c>
      <c r="I391" t="s">
        <v>2333</v>
      </c>
    </row>
    <row r="392" spans="1:9" x14ac:dyDescent="0.3">
      <c r="A392" s="275" t="s">
        <v>1363</v>
      </c>
      <c r="B392" s="275" t="s">
        <v>2334</v>
      </c>
      <c r="I392" t="s">
        <v>2335</v>
      </c>
    </row>
    <row r="393" spans="1:9" x14ac:dyDescent="0.3">
      <c r="A393" s="278" t="s">
        <v>1369</v>
      </c>
      <c r="B393" s="278" t="s">
        <v>2336</v>
      </c>
      <c r="I393" t="s">
        <v>2337</v>
      </c>
    </row>
    <row r="394" spans="1:9" x14ac:dyDescent="0.3">
      <c r="A394" s="279" t="s">
        <v>2338</v>
      </c>
      <c r="B394" s="278" t="s">
        <v>2339</v>
      </c>
      <c r="I394" t="s">
        <v>2340</v>
      </c>
    </row>
    <row r="395" spans="1:9" x14ac:dyDescent="0.3">
      <c r="A395" s="279" t="s">
        <v>2341</v>
      </c>
      <c r="B395" s="276" t="s">
        <v>2342</v>
      </c>
      <c r="I395" t="s">
        <v>2343</v>
      </c>
    </row>
    <row r="396" spans="1:9" x14ac:dyDescent="0.3">
      <c r="A396" s="279" t="s">
        <v>2344</v>
      </c>
      <c r="B396" s="275" t="s">
        <v>2345</v>
      </c>
      <c r="I396" t="s">
        <v>2346</v>
      </c>
    </row>
    <row r="397" spans="1:9" x14ac:dyDescent="0.3">
      <c r="A397" s="278" t="s">
        <v>1374</v>
      </c>
      <c r="B397" s="278" t="s">
        <v>2347</v>
      </c>
      <c r="I397" t="s">
        <v>2348</v>
      </c>
    </row>
    <row r="398" spans="1:9" x14ac:dyDescent="0.3">
      <c r="A398" s="279" t="s">
        <v>2349</v>
      </c>
      <c r="B398" s="276" t="s">
        <v>2350</v>
      </c>
      <c r="I398" t="s">
        <v>2351</v>
      </c>
    </row>
    <row r="399" spans="1:9" x14ac:dyDescent="0.3">
      <c r="A399" s="278" t="s">
        <v>1379</v>
      </c>
      <c r="I399" t="s">
        <v>2352</v>
      </c>
    </row>
    <row r="400" spans="1:9" x14ac:dyDescent="0.3">
      <c r="A400" s="279" t="s">
        <v>2353</v>
      </c>
      <c r="B400" s="279"/>
      <c r="I400" t="s">
        <v>2354</v>
      </c>
    </row>
    <row r="401" spans="1:9" x14ac:dyDescent="0.3">
      <c r="A401" s="279" t="s">
        <v>2355</v>
      </c>
      <c r="B401" s="279"/>
      <c r="I401" t="s">
        <v>2356</v>
      </c>
    </row>
    <row r="402" spans="1:9" x14ac:dyDescent="0.3">
      <c r="A402" s="278" t="s">
        <v>1385</v>
      </c>
      <c r="B402" s="279"/>
      <c r="I402" t="s">
        <v>2357</v>
      </c>
    </row>
    <row r="403" spans="1:9" x14ac:dyDescent="0.3">
      <c r="A403" s="279" t="s">
        <v>2358</v>
      </c>
      <c r="B403" s="279"/>
      <c r="I403" t="s">
        <v>2359</v>
      </c>
    </row>
    <row r="404" spans="1:9" x14ac:dyDescent="0.3">
      <c r="A404" s="278" t="s">
        <v>1390</v>
      </c>
      <c r="B404" s="279"/>
      <c r="I404" t="s">
        <v>2360</v>
      </c>
    </row>
    <row r="405" spans="1:9" x14ac:dyDescent="0.3">
      <c r="A405" s="279" t="s">
        <v>2361</v>
      </c>
      <c r="B405" s="279"/>
      <c r="I405" t="s">
        <v>2362</v>
      </c>
    </row>
    <row r="406" spans="1:9" x14ac:dyDescent="0.3">
      <c r="A406" s="279" t="s">
        <v>2363</v>
      </c>
      <c r="B406" s="279"/>
      <c r="I406" t="s">
        <v>2364</v>
      </c>
    </row>
    <row r="407" spans="1:9" x14ac:dyDescent="0.3">
      <c r="A407" s="279" t="s">
        <v>2365</v>
      </c>
      <c r="B407" s="279"/>
      <c r="I407" t="s">
        <v>2366</v>
      </c>
    </row>
    <row r="408" spans="1:9" x14ac:dyDescent="0.3">
      <c r="A408" s="275" t="s">
        <v>1395</v>
      </c>
      <c r="B408" s="279"/>
      <c r="I408" t="s">
        <v>2367</v>
      </c>
    </row>
    <row r="409" spans="1:9" x14ac:dyDescent="0.3">
      <c r="A409" s="278" t="s">
        <v>1401</v>
      </c>
      <c r="B409" s="279"/>
      <c r="I409" t="s">
        <v>2368</v>
      </c>
    </row>
    <row r="410" spans="1:9" x14ac:dyDescent="0.3">
      <c r="A410" s="279" t="s">
        <v>2369</v>
      </c>
      <c r="B410" s="279"/>
      <c r="I410" t="s">
        <v>2370</v>
      </c>
    </row>
    <row r="411" spans="1:9" x14ac:dyDescent="0.3">
      <c r="A411" s="275" t="s">
        <v>1406</v>
      </c>
      <c r="B411" s="279"/>
      <c r="I411" t="s">
        <v>2371</v>
      </c>
    </row>
    <row r="412" spans="1:9" x14ac:dyDescent="0.3">
      <c r="A412" s="278" t="s">
        <v>1412</v>
      </c>
      <c r="B412" s="279"/>
      <c r="I412" t="s">
        <v>2372</v>
      </c>
    </row>
    <row r="413" spans="1:9" x14ac:dyDescent="0.3">
      <c r="A413" s="279" t="s">
        <v>2373</v>
      </c>
      <c r="B413" s="279"/>
      <c r="I413" t="s">
        <v>2374</v>
      </c>
    </row>
    <row r="414" spans="1:9" x14ac:dyDescent="0.3">
      <c r="A414" s="279" t="s">
        <v>2375</v>
      </c>
      <c r="B414" s="279"/>
      <c r="I414" t="s">
        <v>2376</v>
      </c>
    </row>
    <row r="415" spans="1:9" x14ac:dyDescent="0.3">
      <c r="A415" s="279" t="s">
        <v>2377</v>
      </c>
      <c r="B415" s="279"/>
      <c r="I415" t="s">
        <v>2378</v>
      </c>
    </row>
    <row r="416" spans="1:9" x14ac:dyDescent="0.3">
      <c r="A416" s="278" t="s">
        <v>1417</v>
      </c>
      <c r="B416" s="279"/>
      <c r="I416" t="s">
        <v>2379</v>
      </c>
    </row>
    <row r="417" spans="1:9" x14ac:dyDescent="0.3">
      <c r="A417" s="279" t="s">
        <v>2380</v>
      </c>
      <c r="B417" s="279"/>
      <c r="I417" t="s">
        <v>2381</v>
      </c>
    </row>
    <row r="418" spans="1:9" x14ac:dyDescent="0.3">
      <c r="A418" s="278" t="s">
        <v>1423</v>
      </c>
      <c r="B418" s="279"/>
      <c r="I418" t="s">
        <v>2382</v>
      </c>
    </row>
    <row r="419" spans="1:9" x14ac:dyDescent="0.3">
      <c r="A419" s="279" t="s">
        <v>2383</v>
      </c>
      <c r="B419" s="279"/>
      <c r="I419" t="s">
        <v>2384</v>
      </c>
    </row>
    <row r="420" spans="1:9" x14ac:dyDescent="0.3">
      <c r="A420" s="278" t="s">
        <v>1428</v>
      </c>
      <c r="B420" s="279"/>
      <c r="I420" t="s">
        <v>2385</v>
      </c>
    </row>
    <row r="421" spans="1:9" x14ac:dyDescent="0.3">
      <c r="A421" s="279" t="s">
        <v>2386</v>
      </c>
      <c r="B421" s="279"/>
      <c r="I421" t="s">
        <v>2387</v>
      </c>
    </row>
    <row r="422" spans="1:9" x14ac:dyDescent="0.3">
      <c r="A422" s="278" t="s">
        <v>1434</v>
      </c>
      <c r="B422" s="279"/>
      <c r="I422" t="s">
        <v>2388</v>
      </c>
    </row>
    <row r="423" spans="1:9" x14ac:dyDescent="0.3">
      <c r="A423" s="279" t="s">
        <v>2389</v>
      </c>
      <c r="B423" s="279"/>
      <c r="I423" t="s">
        <v>2390</v>
      </c>
    </row>
    <row r="424" spans="1:9" x14ac:dyDescent="0.3">
      <c r="A424" s="278" t="s">
        <v>1440</v>
      </c>
      <c r="B424" s="279"/>
      <c r="I424" t="s">
        <v>2391</v>
      </c>
    </row>
    <row r="425" spans="1:9" x14ac:dyDescent="0.3">
      <c r="A425" s="279" t="s">
        <v>2392</v>
      </c>
      <c r="B425" s="279"/>
      <c r="I425" t="s">
        <v>2393</v>
      </c>
    </row>
    <row r="426" spans="1:9" x14ac:dyDescent="0.3">
      <c r="A426" s="279" t="s">
        <v>2394</v>
      </c>
      <c r="B426" s="279"/>
      <c r="I426" t="s">
        <v>2395</v>
      </c>
    </row>
    <row r="427" spans="1:9" x14ac:dyDescent="0.3">
      <c r="A427" s="275" t="s">
        <v>1446</v>
      </c>
      <c r="B427" s="279"/>
      <c r="I427" t="s">
        <v>2396</v>
      </c>
    </row>
    <row r="428" spans="1:9" x14ac:dyDescent="0.3">
      <c r="A428" s="278" t="s">
        <v>1452</v>
      </c>
      <c r="B428" s="279"/>
      <c r="I428" t="s">
        <v>2397</v>
      </c>
    </row>
    <row r="429" spans="1:9" x14ac:dyDescent="0.3">
      <c r="A429" s="279" t="s">
        <v>2398</v>
      </c>
      <c r="B429" s="279"/>
      <c r="I429" t="s">
        <v>2399</v>
      </c>
    </row>
    <row r="430" spans="1:9" x14ac:dyDescent="0.3">
      <c r="A430" s="279" t="s">
        <v>2400</v>
      </c>
      <c r="B430" s="279"/>
      <c r="I430" t="s">
        <v>2401</v>
      </c>
    </row>
    <row r="431" spans="1:9" x14ac:dyDescent="0.3">
      <c r="A431" s="279" t="s">
        <v>2402</v>
      </c>
      <c r="B431" s="279"/>
      <c r="I431" t="s">
        <v>2403</v>
      </c>
    </row>
    <row r="432" spans="1:9" x14ac:dyDescent="0.3">
      <c r="A432" s="279" t="s">
        <v>2404</v>
      </c>
      <c r="B432" s="279"/>
      <c r="I432" t="s">
        <v>2405</v>
      </c>
    </row>
    <row r="433" spans="1:9" x14ac:dyDescent="0.3">
      <c r="A433" s="279" t="s">
        <v>2406</v>
      </c>
      <c r="B433" s="279"/>
      <c r="I433" t="s">
        <v>2407</v>
      </c>
    </row>
    <row r="434" spans="1:9" x14ac:dyDescent="0.3">
      <c r="A434" s="279" t="s">
        <v>2408</v>
      </c>
      <c r="B434" s="279"/>
      <c r="I434" t="s">
        <v>2409</v>
      </c>
    </row>
    <row r="435" spans="1:9" x14ac:dyDescent="0.3">
      <c r="A435" s="279" t="s">
        <v>2410</v>
      </c>
      <c r="B435" s="279"/>
      <c r="I435" t="s">
        <v>2411</v>
      </c>
    </row>
    <row r="436" spans="1:9" x14ac:dyDescent="0.3">
      <c r="A436" s="279" t="s">
        <v>2412</v>
      </c>
      <c r="B436" s="279"/>
      <c r="I436" t="s">
        <v>2413</v>
      </c>
    </row>
    <row r="437" spans="1:9" x14ac:dyDescent="0.3">
      <c r="A437" s="279" t="s">
        <v>2414</v>
      </c>
      <c r="B437" s="279"/>
      <c r="I437" t="s">
        <v>2415</v>
      </c>
    </row>
    <row r="438" spans="1:9" x14ac:dyDescent="0.3">
      <c r="A438" s="278" t="s">
        <v>1458</v>
      </c>
      <c r="B438" s="279"/>
      <c r="I438" t="s">
        <v>2416</v>
      </c>
    </row>
    <row r="439" spans="1:9" x14ac:dyDescent="0.3">
      <c r="A439" s="279" t="s">
        <v>2417</v>
      </c>
      <c r="B439" s="279"/>
      <c r="I439" t="s">
        <v>2418</v>
      </c>
    </row>
    <row r="440" spans="1:9" x14ac:dyDescent="0.3">
      <c r="A440" s="276" t="s">
        <v>1496</v>
      </c>
      <c r="B440" s="279"/>
      <c r="I440" t="s">
        <v>2419</v>
      </c>
    </row>
    <row r="441" spans="1:9" x14ac:dyDescent="0.3">
      <c r="A441" s="275" t="s">
        <v>1469</v>
      </c>
      <c r="B441" s="279"/>
      <c r="I441" t="s">
        <v>2420</v>
      </c>
    </row>
    <row r="442" spans="1:9" x14ac:dyDescent="0.3">
      <c r="A442" s="278" t="s">
        <v>1474</v>
      </c>
      <c r="B442" s="279"/>
      <c r="I442" t="s">
        <v>2421</v>
      </c>
    </row>
    <row r="443" spans="1:9" x14ac:dyDescent="0.3">
      <c r="A443" s="279" t="s">
        <v>2422</v>
      </c>
      <c r="B443" s="279"/>
      <c r="I443" t="s">
        <v>2423</v>
      </c>
    </row>
    <row r="444" spans="1:9" x14ac:dyDescent="0.3">
      <c r="A444" s="279" t="s">
        <v>2424</v>
      </c>
      <c r="B444" s="279"/>
      <c r="I444" t="s">
        <v>2425</v>
      </c>
    </row>
    <row r="445" spans="1:9" x14ac:dyDescent="0.3">
      <c r="A445" s="279" t="s">
        <v>2426</v>
      </c>
      <c r="B445" s="279"/>
      <c r="I445" t="s">
        <v>2427</v>
      </c>
    </row>
    <row r="446" spans="1:9" x14ac:dyDescent="0.3">
      <c r="A446" s="279" t="s">
        <v>2428</v>
      </c>
      <c r="B446" s="279"/>
      <c r="I446" t="s">
        <v>2429</v>
      </c>
    </row>
    <row r="447" spans="1:9" x14ac:dyDescent="0.3">
      <c r="A447" s="279" t="s">
        <v>2430</v>
      </c>
      <c r="B447" s="279"/>
      <c r="I447" t="s">
        <v>2431</v>
      </c>
    </row>
    <row r="448" spans="1:9" x14ac:dyDescent="0.3">
      <c r="A448" s="279" t="s">
        <v>2432</v>
      </c>
      <c r="B448" s="279"/>
      <c r="I448" t="s">
        <v>2433</v>
      </c>
    </row>
    <row r="449" spans="1:9" x14ac:dyDescent="0.3">
      <c r="A449" s="278" t="s">
        <v>1479</v>
      </c>
      <c r="B449" s="279"/>
      <c r="I449" t="s">
        <v>2434</v>
      </c>
    </row>
    <row r="450" spans="1:9" x14ac:dyDescent="0.3">
      <c r="A450" s="279" t="s">
        <v>2435</v>
      </c>
      <c r="B450" s="279"/>
      <c r="I450" t="s">
        <v>2436</v>
      </c>
    </row>
    <row r="451" spans="1:9" x14ac:dyDescent="0.3">
      <c r="A451" s="279" t="s">
        <v>2437</v>
      </c>
      <c r="B451" s="279"/>
      <c r="I451" t="s">
        <v>2438</v>
      </c>
    </row>
    <row r="452" spans="1:9" x14ac:dyDescent="0.3">
      <c r="A452" s="279" t="s">
        <v>2439</v>
      </c>
      <c r="B452" s="279"/>
      <c r="I452" t="s">
        <v>2440</v>
      </c>
    </row>
    <row r="453" spans="1:9" x14ac:dyDescent="0.3">
      <c r="A453" s="279" t="s">
        <v>2441</v>
      </c>
      <c r="B453" s="279"/>
      <c r="I453" t="s">
        <v>2442</v>
      </c>
    </row>
    <row r="454" spans="1:9" x14ac:dyDescent="0.3">
      <c r="A454" s="278" t="s">
        <v>1485</v>
      </c>
      <c r="B454" s="279"/>
      <c r="I454" t="s">
        <v>2443</v>
      </c>
    </row>
    <row r="455" spans="1:9" x14ac:dyDescent="0.3">
      <c r="A455" s="279" t="s">
        <v>2444</v>
      </c>
      <c r="B455" s="279"/>
      <c r="I455" t="s">
        <v>2445</v>
      </c>
    </row>
    <row r="456" spans="1:9" x14ac:dyDescent="0.3">
      <c r="A456" s="278" t="s">
        <v>1490</v>
      </c>
      <c r="B456" s="279"/>
      <c r="I456" t="s">
        <v>2446</v>
      </c>
    </row>
    <row r="457" spans="1:9" x14ac:dyDescent="0.3">
      <c r="A457" s="279" t="s">
        <v>2447</v>
      </c>
      <c r="B457" s="279"/>
      <c r="I457" t="s">
        <v>2448</v>
      </c>
    </row>
    <row r="458" spans="1:9" x14ac:dyDescent="0.3">
      <c r="A458" s="276" t="s">
        <v>1558</v>
      </c>
      <c r="B458" s="279"/>
      <c r="I458" t="s">
        <v>2449</v>
      </c>
    </row>
    <row r="459" spans="1:9" x14ac:dyDescent="0.3">
      <c r="A459" s="275" t="s">
        <v>1502</v>
      </c>
      <c r="B459" s="279"/>
      <c r="I459" t="s">
        <v>2450</v>
      </c>
    </row>
    <row r="460" spans="1:9" x14ac:dyDescent="0.3">
      <c r="A460" s="278" t="s">
        <v>1508</v>
      </c>
      <c r="B460" s="279"/>
      <c r="I460" t="s">
        <v>2451</v>
      </c>
    </row>
    <row r="461" spans="1:9" x14ac:dyDescent="0.3">
      <c r="A461" s="279" t="s">
        <v>2452</v>
      </c>
      <c r="B461" s="279"/>
      <c r="I461" t="s">
        <v>2453</v>
      </c>
    </row>
    <row r="462" spans="1:9" x14ac:dyDescent="0.3">
      <c r="A462" s="275" t="s">
        <v>1514</v>
      </c>
      <c r="B462" s="279"/>
      <c r="I462" t="s">
        <v>2454</v>
      </c>
    </row>
    <row r="463" spans="1:9" x14ac:dyDescent="0.3">
      <c r="A463" s="278" t="s">
        <v>1520</v>
      </c>
      <c r="B463" s="279"/>
      <c r="I463" t="s">
        <v>2455</v>
      </c>
    </row>
    <row r="464" spans="1:9" x14ac:dyDescent="0.3">
      <c r="A464" s="279" t="s">
        <v>2456</v>
      </c>
      <c r="B464" s="279"/>
      <c r="I464" t="s">
        <v>2457</v>
      </c>
    </row>
    <row r="465" spans="1:9" x14ac:dyDescent="0.3">
      <c r="A465" s="275" t="s">
        <v>1525</v>
      </c>
      <c r="B465" s="279"/>
      <c r="I465" t="s">
        <v>2458</v>
      </c>
    </row>
    <row r="466" spans="1:9" x14ac:dyDescent="0.3">
      <c r="A466" s="278" t="s">
        <v>1530</v>
      </c>
      <c r="B466" s="279"/>
      <c r="I466" t="s">
        <v>2459</v>
      </c>
    </row>
    <row r="467" spans="1:9" x14ac:dyDescent="0.3">
      <c r="A467" s="279" t="s">
        <v>2460</v>
      </c>
      <c r="B467" s="279"/>
      <c r="I467" t="s">
        <v>2461</v>
      </c>
    </row>
    <row r="468" spans="1:9" x14ac:dyDescent="0.3">
      <c r="A468" s="279" t="s">
        <v>2462</v>
      </c>
      <c r="B468" s="279"/>
      <c r="I468" t="s">
        <v>2463</v>
      </c>
    </row>
    <row r="469" spans="1:9" x14ac:dyDescent="0.3">
      <c r="A469" s="278" t="s">
        <v>1536</v>
      </c>
      <c r="B469" s="279"/>
      <c r="I469" t="s">
        <v>2464</v>
      </c>
    </row>
    <row r="470" spans="1:9" x14ac:dyDescent="0.3">
      <c r="A470" s="279" t="s">
        <v>2465</v>
      </c>
      <c r="B470" s="279"/>
      <c r="I470" t="s">
        <v>2466</v>
      </c>
    </row>
    <row r="471" spans="1:9" x14ac:dyDescent="0.3">
      <c r="A471" s="279" t="s">
        <v>2467</v>
      </c>
      <c r="B471" s="279"/>
      <c r="I471" t="s">
        <v>2468</v>
      </c>
    </row>
    <row r="472" spans="1:9" x14ac:dyDescent="0.3">
      <c r="A472" s="279" t="s">
        <v>2469</v>
      </c>
      <c r="B472" s="279"/>
      <c r="I472" t="s">
        <v>2470</v>
      </c>
    </row>
    <row r="473" spans="1:9" x14ac:dyDescent="0.3">
      <c r="A473" s="278" t="s">
        <v>1542</v>
      </c>
      <c r="B473" s="279"/>
      <c r="I473" t="s">
        <v>2471</v>
      </c>
    </row>
    <row r="474" spans="1:9" x14ac:dyDescent="0.3">
      <c r="A474" s="279" t="s">
        <v>2472</v>
      </c>
      <c r="B474" s="279"/>
      <c r="I474" t="s">
        <v>2473</v>
      </c>
    </row>
    <row r="475" spans="1:9" x14ac:dyDescent="0.3">
      <c r="A475" s="279" t="s">
        <v>2474</v>
      </c>
      <c r="B475" s="279"/>
      <c r="I475" t="s">
        <v>2475</v>
      </c>
    </row>
    <row r="476" spans="1:9" x14ac:dyDescent="0.3">
      <c r="A476" s="279" t="s">
        <v>2476</v>
      </c>
      <c r="B476" s="279"/>
      <c r="I476" t="s">
        <v>2477</v>
      </c>
    </row>
    <row r="477" spans="1:9" x14ac:dyDescent="0.3">
      <c r="A477" s="275" t="s">
        <v>1547</v>
      </c>
      <c r="B477" s="279"/>
      <c r="I477" t="s">
        <v>2478</v>
      </c>
    </row>
    <row r="478" spans="1:9" x14ac:dyDescent="0.3">
      <c r="A478" s="278" t="s">
        <v>1553</v>
      </c>
      <c r="B478" s="279"/>
      <c r="I478" t="s">
        <v>2479</v>
      </c>
    </row>
    <row r="479" spans="1:9" x14ac:dyDescent="0.3">
      <c r="A479" s="279" t="s">
        <v>2480</v>
      </c>
      <c r="B479" s="279"/>
      <c r="I479" t="s">
        <v>2481</v>
      </c>
    </row>
    <row r="480" spans="1:9" x14ac:dyDescent="0.3">
      <c r="A480" s="276" t="s">
        <v>1631</v>
      </c>
      <c r="B480" s="279"/>
      <c r="I480" t="s">
        <v>2482</v>
      </c>
    </row>
    <row r="481" spans="1:9" x14ac:dyDescent="0.3">
      <c r="A481" s="275" t="s">
        <v>1563</v>
      </c>
      <c r="B481" s="279"/>
      <c r="I481" t="s">
        <v>2483</v>
      </c>
    </row>
    <row r="482" spans="1:9" x14ac:dyDescent="0.3">
      <c r="A482" s="278" t="s">
        <v>1569</v>
      </c>
      <c r="B482" s="279"/>
      <c r="I482" t="s">
        <v>2484</v>
      </c>
    </row>
    <row r="483" spans="1:9" x14ac:dyDescent="0.3">
      <c r="A483" s="279" t="s">
        <v>2485</v>
      </c>
      <c r="B483" s="279"/>
      <c r="I483" t="s">
        <v>2486</v>
      </c>
    </row>
    <row r="484" spans="1:9" x14ac:dyDescent="0.3">
      <c r="A484" s="275" t="s">
        <v>1574</v>
      </c>
      <c r="B484" s="279"/>
      <c r="I484" t="s">
        <v>2487</v>
      </c>
    </row>
    <row r="485" spans="1:9" x14ac:dyDescent="0.3">
      <c r="A485" s="278" t="s">
        <v>1578</v>
      </c>
      <c r="B485" s="279"/>
      <c r="I485" t="s">
        <v>2488</v>
      </c>
    </row>
    <row r="486" spans="1:9" x14ac:dyDescent="0.3">
      <c r="A486" s="279" t="s">
        <v>2489</v>
      </c>
      <c r="B486" s="279"/>
      <c r="I486" t="s">
        <v>2490</v>
      </c>
    </row>
    <row r="487" spans="1:9" x14ac:dyDescent="0.3">
      <c r="A487" s="279" t="s">
        <v>2491</v>
      </c>
      <c r="B487" s="279"/>
      <c r="I487" t="s">
        <v>2492</v>
      </c>
    </row>
    <row r="488" spans="1:9" x14ac:dyDescent="0.3">
      <c r="A488" s="279" t="s">
        <v>2493</v>
      </c>
      <c r="B488" s="279"/>
      <c r="I488" t="s">
        <v>2494</v>
      </c>
    </row>
    <row r="489" spans="1:9" x14ac:dyDescent="0.3">
      <c r="A489" s="278" t="s">
        <v>1583</v>
      </c>
      <c r="B489" s="279"/>
      <c r="I489" t="s">
        <v>2495</v>
      </c>
    </row>
    <row r="490" spans="1:9" x14ac:dyDescent="0.3">
      <c r="A490" s="279" t="s">
        <v>2496</v>
      </c>
      <c r="B490" s="279"/>
      <c r="I490" t="s">
        <v>2497</v>
      </c>
    </row>
    <row r="491" spans="1:9" x14ac:dyDescent="0.3">
      <c r="A491" s="279" t="s">
        <v>2498</v>
      </c>
      <c r="B491" s="279"/>
      <c r="I491" t="s">
        <v>2499</v>
      </c>
    </row>
    <row r="492" spans="1:9" x14ac:dyDescent="0.3">
      <c r="A492" s="278" t="s">
        <v>1588</v>
      </c>
      <c r="B492" s="279"/>
      <c r="I492" t="s">
        <v>2500</v>
      </c>
    </row>
    <row r="493" spans="1:9" x14ac:dyDescent="0.3">
      <c r="A493" s="279" t="s">
        <v>2501</v>
      </c>
      <c r="B493" s="279"/>
      <c r="I493" t="s">
        <v>2502</v>
      </c>
    </row>
    <row r="494" spans="1:9" x14ac:dyDescent="0.3">
      <c r="A494" s="279" t="s">
        <v>2503</v>
      </c>
      <c r="B494" s="279"/>
      <c r="I494" t="s">
        <v>2504</v>
      </c>
    </row>
    <row r="495" spans="1:9" x14ac:dyDescent="0.3">
      <c r="A495" s="275" t="s">
        <v>1593</v>
      </c>
      <c r="B495" s="279"/>
      <c r="I495" t="s">
        <v>2505</v>
      </c>
    </row>
    <row r="496" spans="1:9" x14ac:dyDescent="0.3">
      <c r="A496" s="278" t="s">
        <v>1598</v>
      </c>
      <c r="B496" s="279"/>
      <c r="I496" t="s">
        <v>2506</v>
      </c>
    </row>
    <row r="497" spans="1:9" x14ac:dyDescent="0.3">
      <c r="A497" s="279" t="s">
        <v>2507</v>
      </c>
      <c r="B497" s="279"/>
      <c r="I497" t="s">
        <v>2508</v>
      </c>
    </row>
    <row r="498" spans="1:9" x14ac:dyDescent="0.3">
      <c r="A498" s="279" t="s">
        <v>2509</v>
      </c>
      <c r="B498" s="279"/>
      <c r="I498" t="s">
        <v>2510</v>
      </c>
    </row>
    <row r="499" spans="1:9" x14ac:dyDescent="0.3">
      <c r="A499" s="279" t="s">
        <v>2511</v>
      </c>
      <c r="B499" s="279"/>
      <c r="I499" t="s">
        <v>2512</v>
      </c>
    </row>
    <row r="500" spans="1:9" x14ac:dyDescent="0.3">
      <c r="A500" s="278" t="s">
        <v>1603</v>
      </c>
      <c r="B500" s="279"/>
      <c r="I500" t="s">
        <v>2513</v>
      </c>
    </row>
    <row r="501" spans="1:9" x14ac:dyDescent="0.3">
      <c r="A501" s="279" t="s">
        <v>2514</v>
      </c>
      <c r="B501" s="279"/>
      <c r="I501" t="s">
        <v>2515</v>
      </c>
    </row>
    <row r="502" spans="1:9" x14ac:dyDescent="0.3">
      <c r="A502" s="279" t="s">
        <v>2516</v>
      </c>
      <c r="B502" s="279"/>
      <c r="I502" t="s">
        <v>2517</v>
      </c>
    </row>
    <row r="503" spans="1:9" x14ac:dyDescent="0.3">
      <c r="A503" s="279" t="s">
        <v>2518</v>
      </c>
      <c r="B503" s="279"/>
      <c r="I503" t="s">
        <v>2519</v>
      </c>
    </row>
    <row r="504" spans="1:9" x14ac:dyDescent="0.3">
      <c r="A504" s="279" t="s">
        <v>2520</v>
      </c>
      <c r="B504" s="279"/>
      <c r="I504" t="s">
        <v>2521</v>
      </c>
    </row>
    <row r="505" spans="1:9" x14ac:dyDescent="0.3">
      <c r="A505" s="278" t="s">
        <v>1608</v>
      </c>
      <c r="B505" s="279"/>
      <c r="I505" t="s">
        <v>2522</v>
      </c>
    </row>
    <row r="506" spans="1:9" x14ac:dyDescent="0.3">
      <c r="A506" s="279" t="s">
        <v>2523</v>
      </c>
      <c r="B506" s="279"/>
      <c r="I506" t="s">
        <v>2524</v>
      </c>
    </row>
    <row r="507" spans="1:9" x14ac:dyDescent="0.3">
      <c r="A507" s="279" t="s">
        <v>2525</v>
      </c>
      <c r="B507" s="279"/>
      <c r="I507" t="s">
        <v>2526</v>
      </c>
    </row>
    <row r="508" spans="1:9" x14ac:dyDescent="0.3">
      <c r="A508" s="279" t="s">
        <v>2527</v>
      </c>
      <c r="B508" s="279"/>
      <c r="I508" t="s">
        <v>2528</v>
      </c>
    </row>
    <row r="509" spans="1:9" x14ac:dyDescent="0.3">
      <c r="A509" s="279" t="s">
        <v>2529</v>
      </c>
      <c r="B509" s="279"/>
      <c r="I509" t="s">
        <v>2530</v>
      </c>
    </row>
    <row r="510" spans="1:9" x14ac:dyDescent="0.3">
      <c r="A510" s="279" t="s">
        <v>2531</v>
      </c>
      <c r="B510" s="279"/>
      <c r="I510" t="s">
        <v>2532</v>
      </c>
    </row>
    <row r="511" spans="1:9" x14ac:dyDescent="0.3">
      <c r="A511" s="278" t="s">
        <v>1613</v>
      </c>
      <c r="B511" s="279"/>
      <c r="I511" t="s">
        <v>2533</v>
      </c>
    </row>
    <row r="512" spans="1:9" x14ac:dyDescent="0.3">
      <c r="A512" s="279" t="s">
        <v>2534</v>
      </c>
      <c r="B512" s="279"/>
      <c r="I512" t="s">
        <v>2535</v>
      </c>
    </row>
    <row r="513" spans="1:9" x14ac:dyDescent="0.3">
      <c r="A513" s="279" t="s">
        <v>2536</v>
      </c>
      <c r="B513" s="279"/>
      <c r="I513" t="s">
        <v>2537</v>
      </c>
    </row>
    <row r="514" spans="1:9" x14ac:dyDescent="0.3">
      <c r="A514" s="278" t="s">
        <v>1618</v>
      </c>
      <c r="B514" s="279"/>
      <c r="I514" t="s">
        <v>2538</v>
      </c>
    </row>
    <row r="515" spans="1:9" x14ac:dyDescent="0.3">
      <c r="A515" s="279" t="s">
        <v>2539</v>
      </c>
      <c r="B515" s="279"/>
      <c r="I515" t="s">
        <v>2540</v>
      </c>
    </row>
    <row r="516" spans="1:9" x14ac:dyDescent="0.3">
      <c r="A516" s="278" t="s">
        <v>1622</v>
      </c>
      <c r="B516" s="279"/>
      <c r="I516" t="s">
        <v>2541</v>
      </c>
    </row>
    <row r="517" spans="1:9" x14ac:dyDescent="0.3">
      <c r="A517" s="279" t="s">
        <v>2542</v>
      </c>
      <c r="B517" s="279"/>
      <c r="I517" t="s">
        <v>2543</v>
      </c>
    </row>
    <row r="518" spans="1:9" x14ac:dyDescent="0.3">
      <c r="A518" s="278" t="s">
        <v>1626</v>
      </c>
      <c r="B518" s="279"/>
      <c r="I518" t="s">
        <v>2544</v>
      </c>
    </row>
    <row r="519" spans="1:9" x14ac:dyDescent="0.3">
      <c r="A519" s="279" t="s">
        <v>2545</v>
      </c>
      <c r="B519" s="279"/>
      <c r="I519" t="s">
        <v>2546</v>
      </c>
    </row>
    <row r="520" spans="1:9" x14ac:dyDescent="0.3">
      <c r="A520" s="279" t="s">
        <v>2547</v>
      </c>
      <c r="B520" s="279"/>
      <c r="I520" t="s">
        <v>2548</v>
      </c>
    </row>
    <row r="521" spans="1:9" x14ac:dyDescent="0.3">
      <c r="A521" s="276" t="s">
        <v>1728</v>
      </c>
      <c r="B521" s="279"/>
      <c r="I521" t="s">
        <v>2549</v>
      </c>
    </row>
    <row r="522" spans="1:9" x14ac:dyDescent="0.3">
      <c r="A522" s="275" t="s">
        <v>1636</v>
      </c>
      <c r="B522" s="279"/>
      <c r="I522" t="s">
        <v>2550</v>
      </c>
    </row>
    <row r="523" spans="1:9" x14ac:dyDescent="0.3">
      <c r="A523" s="278" t="s">
        <v>1640</v>
      </c>
      <c r="B523" s="279"/>
      <c r="I523" t="s">
        <v>2551</v>
      </c>
    </row>
    <row r="524" spans="1:9" x14ac:dyDescent="0.3">
      <c r="A524" s="279" t="s">
        <v>2552</v>
      </c>
      <c r="B524" s="279"/>
      <c r="I524" t="s">
        <v>2553</v>
      </c>
    </row>
    <row r="525" spans="1:9" x14ac:dyDescent="0.3">
      <c r="A525" s="279" t="s">
        <v>2554</v>
      </c>
      <c r="B525" s="279"/>
      <c r="I525" t="s">
        <v>2555</v>
      </c>
    </row>
    <row r="526" spans="1:9" x14ac:dyDescent="0.3">
      <c r="A526" s="279" t="s">
        <v>2556</v>
      </c>
      <c r="B526" s="279"/>
      <c r="I526" t="s">
        <v>2557</v>
      </c>
    </row>
    <row r="527" spans="1:9" x14ac:dyDescent="0.3">
      <c r="A527" s="279" t="s">
        <v>2558</v>
      </c>
      <c r="B527" s="279"/>
      <c r="I527" t="s">
        <v>2559</v>
      </c>
    </row>
    <row r="528" spans="1:9" x14ac:dyDescent="0.3">
      <c r="A528" s="279" t="s">
        <v>2560</v>
      </c>
      <c r="B528" s="279"/>
      <c r="I528" t="s">
        <v>2561</v>
      </c>
    </row>
    <row r="529" spans="1:9" x14ac:dyDescent="0.3">
      <c r="A529" s="279" t="s">
        <v>2562</v>
      </c>
      <c r="B529" s="279"/>
      <c r="I529" t="s">
        <v>2563</v>
      </c>
    </row>
    <row r="530" spans="1:9" x14ac:dyDescent="0.3">
      <c r="A530" s="279" t="s">
        <v>2564</v>
      </c>
      <c r="B530" s="279"/>
      <c r="I530" t="s">
        <v>2565</v>
      </c>
    </row>
    <row r="531" spans="1:9" x14ac:dyDescent="0.3">
      <c r="A531" s="279" t="s">
        <v>2566</v>
      </c>
      <c r="B531" s="279"/>
      <c r="I531" t="s">
        <v>2567</v>
      </c>
    </row>
    <row r="532" spans="1:9" x14ac:dyDescent="0.3">
      <c r="A532" s="279" t="s">
        <v>2568</v>
      </c>
      <c r="B532" s="279"/>
      <c r="I532" t="s">
        <v>2569</v>
      </c>
    </row>
    <row r="533" spans="1:9" x14ac:dyDescent="0.3">
      <c r="A533" s="278" t="s">
        <v>1645</v>
      </c>
      <c r="B533" s="279"/>
      <c r="I533" t="s">
        <v>2570</v>
      </c>
    </row>
    <row r="534" spans="1:9" x14ac:dyDescent="0.3">
      <c r="A534" s="279" t="s">
        <v>2571</v>
      </c>
      <c r="B534" s="279"/>
      <c r="I534" t="s">
        <v>2572</v>
      </c>
    </row>
    <row r="535" spans="1:9" x14ac:dyDescent="0.3">
      <c r="A535" s="279" t="s">
        <v>2573</v>
      </c>
      <c r="B535" s="279"/>
      <c r="I535" t="s">
        <v>2574</v>
      </c>
    </row>
    <row r="536" spans="1:9" x14ac:dyDescent="0.3">
      <c r="A536" s="279" t="s">
        <v>2575</v>
      </c>
      <c r="B536" s="279"/>
      <c r="I536" t="s">
        <v>2576</v>
      </c>
    </row>
    <row r="537" spans="1:9" x14ac:dyDescent="0.3">
      <c r="A537" s="279" t="s">
        <v>2577</v>
      </c>
      <c r="B537" s="279"/>
      <c r="I537" t="s">
        <v>2578</v>
      </c>
    </row>
    <row r="538" spans="1:9" x14ac:dyDescent="0.3">
      <c r="A538" s="278" t="s">
        <v>1650</v>
      </c>
      <c r="B538" s="279"/>
      <c r="I538" t="s">
        <v>2579</v>
      </c>
    </row>
    <row r="539" spans="1:9" x14ac:dyDescent="0.3">
      <c r="A539" s="279" t="s">
        <v>2580</v>
      </c>
      <c r="B539" s="279"/>
      <c r="I539" t="s">
        <v>2581</v>
      </c>
    </row>
    <row r="540" spans="1:9" x14ac:dyDescent="0.3">
      <c r="A540" s="279" t="s">
        <v>2582</v>
      </c>
      <c r="B540" s="279"/>
      <c r="I540" t="s">
        <v>2583</v>
      </c>
    </row>
    <row r="541" spans="1:9" x14ac:dyDescent="0.3">
      <c r="A541" s="279" t="s">
        <v>2584</v>
      </c>
      <c r="B541" s="279"/>
      <c r="I541" t="s">
        <v>2585</v>
      </c>
    </row>
    <row r="542" spans="1:9" x14ac:dyDescent="0.3">
      <c r="A542" s="279" t="s">
        <v>2586</v>
      </c>
      <c r="B542" s="279"/>
      <c r="I542" t="s">
        <v>2587</v>
      </c>
    </row>
    <row r="543" spans="1:9" x14ac:dyDescent="0.3">
      <c r="A543" s="279" t="s">
        <v>2588</v>
      </c>
      <c r="B543" s="279"/>
      <c r="I543" t="s">
        <v>2589</v>
      </c>
    </row>
    <row r="544" spans="1:9" x14ac:dyDescent="0.3">
      <c r="A544" s="279" t="s">
        <v>2590</v>
      </c>
      <c r="B544" s="279"/>
      <c r="I544" t="s">
        <v>2591</v>
      </c>
    </row>
    <row r="545" spans="1:9" x14ac:dyDescent="0.3">
      <c r="A545" s="279" t="s">
        <v>2592</v>
      </c>
      <c r="B545" s="279"/>
      <c r="I545" t="s">
        <v>2593</v>
      </c>
    </row>
    <row r="546" spans="1:9" x14ac:dyDescent="0.3">
      <c r="A546" s="279" t="s">
        <v>2594</v>
      </c>
      <c r="B546" s="279"/>
      <c r="I546" t="s">
        <v>2595</v>
      </c>
    </row>
    <row r="547" spans="1:9" x14ac:dyDescent="0.3">
      <c r="A547" s="279" t="s">
        <v>2596</v>
      </c>
      <c r="B547" s="279"/>
      <c r="I547" t="s">
        <v>2597</v>
      </c>
    </row>
    <row r="548" spans="1:9" x14ac:dyDescent="0.3">
      <c r="A548" s="278" t="s">
        <v>1655</v>
      </c>
      <c r="B548" s="279"/>
      <c r="I548" t="s">
        <v>2598</v>
      </c>
    </row>
    <row r="549" spans="1:9" x14ac:dyDescent="0.3">
      <c r="A549" s="279" t="s">
        <v>2599</v>
      </c>
      <c r="B549" s="279"/>
      <c r="I549" t="s">
        <v>2600</v>
      </c>
    </row>
    <row r="550" spans="1:9" x14ac:dyDescent="0.3">
      <c r="A550" s="279" t="s">
        <v>2601</v>
      </c>
      <c r="B550" s="279"/>
      <c r="I550" t="s">
        <v>2602</v>
      </c>
    </row>
    <row r="551" spans="1:9" x14ac:dyDescent="0.3">
      <c r="A551" s="279" t="s">
        <v>2603</v>
      </c>
      <c r="B551" s="279"/>
      <c r="I551" t="s">
        <v>2604</v>
      </c>
    </row>
    <row r="552" spans="1:9" x14ac:dyDescent="0.3">
      <c r="A552" s="279" t="s">
        <v>2605</v>
      </c>
      <c r="B552" s="279"/>
      <c r="I552" t="s">
        <v>2606</v>
      </c>
    </row>
    <row r="553" spans="1:9" x14ac:dyDescent="0.3">
      <c r="A553" s="279" t="s">
        <v>2607</v>
      </c>
      <c r="B553" s="279"/>
      <c r="I553" t="s">
        <v>2608</v>
      </c>
    </row>
    <row r="554" spans="1:9" x14ac:dyDescent="0.3">
      <c r="A554" s="279" t="s">
        <v>2609</v>
      </c>
      <c r="B554" s="279"/>
      <c r="I554" t="s">
        <v>2610</v>
      </c>
    </row>
    <row r="555" spans="1:9" x14ac:dyDescent="0.3">
      <c r="A555" s="279" t="s">
        <v>2611</v>
      </c>
      <c r="B555" s="279"/>
      <c r="I555" t="s">
        <v>2612</v>
      </c>
    </row>
    <row r="556" spans="1:9" x14ac:dyDescent="0.3">
      <c r="A556" s="279" t="s">
        <v>2613</v>
      </c>
      <c r="B556" s="279"/>
      <c r="I556" t="s">
        <v>2614</v>
      </c>
    </row>
    <row r="557" spans="1:9" x14ac:dyDescent="0.3">
      <c r="A557" s="279" t="s">
        <v>2615</v>
      </c>
      <c r="B557" s="279"/>
      <c r="I557" t="s">
        <v>2616</v>
      </c>
    </row>
    <row r="558" spans="1:9" x14ac:dyDescent="0.3">
      <c r="A558" s="278" t="s">
        <v>1660</v>
      </c>
      <c r="B558" s="279"/>
      <c r="I558" t="s">
        <v>2617</v>
      </c>
    </row>
    <row r="559" spans="1:9" x14ac:dyDescent="0.3">
      <c r="A559" s="279" t="s">
        <v>2618</v>
      </c>
      <c r="B559" s="279"/>
      <c r="I559" t="s">
        <v>2619</v>
      </c>
    </row>
    <row r="560" spans="1:9" x14ac:dyDescent="0.3">
      <c r="A560" s="278" t="s">
        <v>1665</v>
      </c>
      <c r="B560" s="279"/>
      <c r="I560" t="s">
        <v>2620</v>
      </c>
    </row>
    <row r="561" spans="1:9" x14ac:dyDescent="0.3">
      <c r="A561" s="279" t="s">
        <v>2621</v>
      </c>
      <c r="B561" s="279"/>
      <c r="I561" t="s">
        <v>2622</v>
      </c>
    </row>
    <row r="562" spans="1:9" x14ac:dyDescent="0.3">
      <c r="A562" s="279" t="s">
        <v>2623</v>
      </c>
      <c r="B562" s="279"/>
      <c r="I562" t="s">
        <v>2624</v>
      </c>
    </row>
    <row r="563" spans="1:9" x14ac:dyDescent="0.3">
      <c r="A563" s="279" t="s">
        <v>2625</v>
      </c>
      <c r="B563" s="279"/>
      <c r="I563" t="s">
        <v>2626</v>
      </c>
    </row>
    <row r="564" spans="1:9" x14ac:dyDescent="0.3">
      <c r="A564" s="279" t="s">
        <v>2627</v>
      </c>
      <c r="B564" s="279"/>
      <c r="I564" t="s">
        <v>2628</v>
      </c>
    </row>
    <row r="565" spans="1:9" x14ac:dyDescent="0.3">
      <c r="A565" s="278" t="s">
        <v>1669</v>
      </c>
      <c r="B565" s="279"/>
      <c r="I565" t="s">
        <v>2629</v>
      </c>
    </row>
    <row r="566" spans="1:9" x14ac:dyDescent="0.3">
      <c r="A566" s="279" t="s">
        <v>2630</v>
      </c>
      <c r="B566" s="279"/>
      <c r="I566" t="s">
        <v>2631</v>
      </c>
    </row>
    <row r="567" spans="1:9" x14ac:dyDescent="0.3">
      <c r="A567" s="279" t="s">
        <v>2632</v>
      </c>
      <c r="B567" s="279"/>
      <c r="I567" t="s">
        <v>2633</v>
      </c>
    </row>
    <row r="568" spans="1:9" x14ac:dyDescent="0.3">
      <c r="A568" s="279" t="s">
        <v>2634</v>
      </c>
      <c r="B568" s="279"/>
      <c r="I568" t="s">
        <v>2635</v>
      </c>
    </row>
    <row r="569" spans="1:9" x14ac:dyDescent="0.3">
      <c r="A569" s="278" t="s">
        <v>1673</v>
      </c>
      <c r="B569" s="279"/>
      <c r="I569" t="s">
        <v>2636</v>
      </c>
    </row>
    <row r="570" spans="1:9" x14ac:dyDescent="0.3">
      <c r="A570" s="279" t="s">
        <v>2637</v>
      </c>
      <c r="B570" s="279"/>
      <c r="I570" t="s">
        <v>2638</v>
      </c>
    </row>
    <row r="571" spans="1:9" x14ac:dyDescent="0.3">
      <c r="A571" s="279" t="s">
        <v>2639</v>
      </c>
      <c r="B571" s="279"/>
      <c r="I571" t="s">
        <v>2640</v>
      </c>
    </row>
    <row r="572" spans="1:9" x14ac:dyDescent="0.3">
      <c r="A572" s="279" t="s">
        <v>2641</v>
      </c>
      <c r="B572" s="279"/>
      <c r="I572" t="s">
        <v>2642</v>
      </c>
    </row>
    <row r="573" spans="1:9" x14ac:dyDescent="0.3">
      <c r="A573" s="279" t="s">
        <v>2643</v>
      </c>
      <c r="B573" s="279"/>
      <c r="I573" t="s">
        <v>2644</v>
      </c>
    </row>
    <row r="574" spans="1:9" x14ac:dyDescent="0.3">
      <c r="A574" s="279" t="s">
        <v>2645</v>
      </c>
      <c r="B574" s="279"/>
      <c r="I574" t="s">
        <v>2646</v>
      </c>
    </row>
    <row r="575" spans="1:9" x14ac:dyDescent="0.3">
      <c r="A575" s="279" t="s">
        <v>2647</v>
      </c>
      <c r="B575" s="279"/>
      <c r="I575" t="s">
        <v>2648</v>
      </c>
    </row>
    <row r="576" spans="1:9" x14ac:dyDescent="0.3">
      <c r="A576" s="279" t="s">
        <v>2649</v>
      </c>
      <c r="B576" s="279"/>
      <c r="I576" t="s">
        <v>2650</v>
      </c>
    </row>
    <row r="577" spans="1:9" x14ac:dyDescent="0.3">
      <c r="A577" s="279" t="s">
        <v>2651</v>
      </c>
      <c r="B577" s="279"/>
      <c r="I577" t="s">
        <v>2652</v>
      </c>
    </row>
    <row r="578" spans="1:9" x14ac:dyDescent="0.3">
      <c r="A578" s="278" t="s">
        <v>1678</v>
      </c>
      <c r="B578" s="279"/>
      <c r="I578" t="s">
        <v>2653</v>
      </c>
    </row>
    <row r="579" spans="1:9" x14ac:dyDescent="0.3">
      <c r="A579" s="279" t="s">
        <v>2654</v>
      </c>
      <c r="B579" s="279"/>
      <c r="I579" t="s">
        <v>2655</v>
      </c>
    </row>
    <row r="580" spans="1:9" x14ac:dyDescent="0.3">
      <c r="A580" s="275" t="s">
        <v>1683</v>
      </c>
      <c r="B580" s="279"/>
      <c r="I580" t="s">
        <v>2656</v>
      </c>
    </row>
    <row r="581" spans="1:9" x14ac:dyDescent="0.3">
      <c r="A581" s="278" t="s">
        <v>1688</v>
      </c>
      <c r="B581" s="279"/>
      <c r="I581" t="s">
        <v>2657</v>
      </c>
    </row>
    <row r="582" spans="1:9" x14ac:dyDescent="0.3">
      <c r="A582" s="279" t="s">
        <v>2658</v>
      </c>
      <c r="B582" s="279"/>
      <c r="I582" t="s">
        <v>2659</v>
      </c>
    </row>
    <row r="583" spans="1:9" x14ac:dyDescent="0.3">
      <c r="A583" s="279" t="s">
        <v>2660</v>
      </c>
      <c r="B583" s="279"/>
      <c r="I583" t="s">
        <v>2661</v>
      </c>
    </row>
    <row r="584" spans="1:9" x14ac:dyDescent="0.3">
      <c r="A584" s="278" t="s">
        <v>1693</v>
      </c>
      <c r="B584" s="279"/>
      <c r="I584" t="s">
        <v>2662</v>
      </c>
    </row>
    <row r="585" spans="1:9" x14ac:dyDescent="0.3">
      <c r="A585" s="279" t="s">
        <v>2663</v>
      </c>
      <c r="B585" s="279"/>
      <c r="I585" t="s">
        <v>2664</v>
      </c>
    </row>
    <row r="586" spans="1:9" x14ac:dyDescent="0.3">
      <c r="A586" s="279" t="s">
        <v>2665</v>
      </c>
      <c r="B586" s="279"/>
      <c r="I586" t="s">
        <v>2666</v>
      </c>
    </row>
    <row r="587" spans="1:9" x14ac:dyDescent="0.3">
      <c r="A587" s="279" t="s">
        <v>2667</v>
      </c>
      <c r="B587" s="279"/>
      <c r="I587" t="s">
        <v>2668</v>
      </c>
    </row>
    <row r="588" spans="1:9" x14ac:dyDescent="0.3">
      <c r="A588" s="279" t="s">
        <v>2669</v>
      </c>
      <c r="B588" s="279"/>
      <c r="I588" t="s">
        <v>2670</v>
      </c>
    </row>
    <row r="589" spans="1:9" x14ac:dyDescent="0.3">
      <c r="A589" s="279" t="s">
        <v>2671</v>
      </c>
      <c r="B589" s="279"/>
      <c r="I589" t="s">
        <v>2672</v>
      </c>
    </row>
    <row r="590" spans="1:9" x14ac:dyDescent="0.3">
      <c r="A590" s="279" t="s">
        <v>2673</v>
      </c>
      <c r="B590" s="279"/>
      <c r="I590" t="s">
        <v>2674</v>
      </c>
    </row>
    <row r="591" spans="1:9" x14ac:dyDescent="0.3">
      <c r="A591" s="279" t="s">
        <v>2675</v>
      </c>
      <c r="B591" s="279"/>
      <c r="I591" t="s">
        <v>2676</v>
      </c>
    </row>
    <row r="592" spans="1:9" x14ac:dyDescent="0.3">
      <c r="A592" s="278" t="s">
        <v>1697</v>
      </c>
      <c r="B592" s="279"/>
      <c r="I592" t="s">
        <v>2677</v>
      </c>
    </row>
    <row r="593" spans="1:9" x14ac:dyDescent="0.3">
      <c r="A593" s="279" t="s">
        <v>2678</v>
      </c>
      <c r="B593" s="279"/>
      <c r="I593" t="s">
        <v>2679</v>
      </c>
    </row>
    <row r="594" spans="1:9" x14ac:dyDescent="0.3">
      <c r="A594" s="278" t="s">
        <v>1702</v>
      </c>
      <c r="B594" s="279"/>
      <c r="I594" t="s">
        <v>2680</v>
      </c>
    </row>
    <row r="595" spans="1:9" x14ac:dyDescent="0.3">
      <c r="A595" s="279" t="s">
        <v>2681</v>
      </c>
      <c r="B595" s="279"/>
      <c r="I595" t="s">
        <v>2682</v>
      </c>
    </row>
    <row r="596" spans="1:9" x14ac:dyDescent="0.3">
      <c r="A596" s="278" t="s">
        <v>1706</v>
      </c>
      <c r="B596" s="279"/>
      <c r="I596" t="s">
        <v>2683</v>
      </c>
    </row>
    <row r="597" spans="1:9" x14ac:dyDescent="0.3">
      <c r="A597" s="279" t="s">
        <v>2684</v>
      </c>
      <c r="B597" s="279"/>
      <c r="I597" t="s">
        <v>2685</v>
      </c>
    </row>
    <row r="598" spans="1:9" x14ac:dyDescent="0.3">
      <c r="A598" s="279" t="s">
        <v>2686</v>
      </c>
      <c r="B598" s="279"/>
      <c r="I598" t="s">
        <v>2687</v>
      </c>
    </row>
    <row r="599" spans="1:9" x14ac:dyDescent="0.3">
      <c r="A599" s="279" t="s">
        <v>2688</v>
      </c>
      <c r="B599" s="279"/>
      <c r="I599" t="s">
        <v>2689</v>
      </c>
    </row>
    <row r="600" spans="1:9" x14ac:dyDescent="0.3">
      <c r="A600" s="279" t="s">
        <v>2690</v>
      </c>
      <c r="B600" s="279"/>
      <c r="I600" t="s">
        <v>2691</v>
      </c>
    </row>
    <row r="601" spans="1:9" x14ac:dyDescent="0.3">
      <c r="A601" s="279" t="s">
        <v>2692</v>
      </c>
      <c r="B601" s="279"/>
      <c r="I601" t="s">
        <v>2693</v>
      </c>
    </row>
    <row r="602" spans="1:9" x14ac:dyDescent="0.3">
      <c r="A602" s="278" t="s">
        <v>1710</v>
      </c>
      <c r="B602" s="279"/>
      <c r="I602" t="s">
        <v>2694</v>
      </c>
    </row>
    <row r="603" spans="1:9" x14ac:dyDescent="0.3">
      <c r="A603" s="279" t="s">
        <v>2695</v>
      </c>
      <c r="B603" s="279"/>
      <c r="I603" t="s">
        <v>2696</v>
      </c>
    </row>
    <row r="604" spans="1:9" x14ac:dyDescent="0.3">
      <c r="A604" s="279" t="s">
        <v>2697</v>
      </c>
      <c r="B604" s="279"/>
      <c r="I604" t="s">
        <v>2698</v>
      </c>
    </row>
    <row r="605" spans="1:9" x14ac:dyDescent="0.3">
      <c r="A605" s="279" t="s">
        <v>2699</v>
      </c>
      <c r="B605" s="279"/>
      <c r="I605" t="s">
        <v>2700</v>
      </c>
    </row>
    <row r="606" spans="1:9" x14ac:dyDescent="0.3">
      <c r="A606" s="279" t="s">
        <v>2701</v>
      </c>
      <c r="B606" s="279"/>
      <c r="I606" t="s">
        <v>2702</v>
      </c>
    </row>
    <row r="607" spans="1:9" x14ac:dyDescent="0.3">
      <c r="A607" s="279" t="s">
        <v>2703</v>
      </c>
      <c r="B607" s="279"/>
      <c r="I607" t="s">
        <v>2704</v>
      </c>
    </row>
    <row r="608" spans="1:9" x14ac:dyDescent="0.3">
      <c r="A608" s="278" t="s">
        <v>1715</v>
      </c>
      <c r="B608" s="279"/>
      <c r="I608" t="s">
        <v>2705</v>
      </c>
    </row>
    <row r="609" spans="1:9" x14ac:dyDescent="0.3">
      <c r="A609" s="279" t="s">
        <v>2706</v>
      </c>
      <c r="B609" s="279"/>
      <c r="I609" t="s">
        <v>2707</v>
      </c>
    </row>
    <row r="610" spans="1:9" x14ac:dyDescent="0.3">
      <c r="A610" s="279" t="s">
        <v>2708</v>
      </c>
      <c r="B610" s="279"/>
      <c r="I610" t="s">
        <v>2709</v>
      </c>
    </row>
    <row r="611" spans="1:9" x14ac:dyDescent="0.3">
      <c r="A611" s="279" t="s">
        <v>2710</v>
      </c>
      <c r="B611" s="279"/>
      <c r="I611" t="s">
        <v>2711</v>
      </c>
    </row>
    <row r="612" spans="1:9" x14ac:dyDescent="0.3">
      <c r="A612" s="279" t="s">
        <v>2712</v>
      </c>
      <c r="B612" s="279"/>
      <c r="I612" t="s">
        <v>2713</v>
      </c>
    </row>
    <row r="613" spans="1:9" x14ac:dyDescent="0.3">
      <c r="A613" s="279" t="s">
        <v>2714</v>
      </c>
      <c r="B613" s="279"/>
      <c r="I613" t="s">
        <v>2715</v>
      </c>
    </row>
    <row r="614" spans="1:9" x14ac:dyDescent="0.3">
      <c r="A614" s="279" t="s">
        <v>2716</v>
      </c>
      <c r="B614" s="279"/>
      <c r="I614" t="s">
        <v>2717</v>
      </c>
    </row>
    <row r="615" spans="1:9" x14ac:dyDescent="0.3">
      <c r="A615" s="279" t="s">
        <v>2718</v>
      </c>
      <c r="B615" s="279"/>
      <c r="I615" t="s">
        <v>2719</v>
      </c>
    </row>
    <row r="616" spans="1:9" x14ac:dyDescent="0.3">
      <c r="A616" s="279" t="s">
        <v>2720</v>
      </c>
      <c r="B616" s="279"/>
      <c r="I616" t="s">
        <v>2721</v>
      </c>
    </row>
    <row r="617" spans="1:9" x14ac:dyDescent="0.3">
      <c r="A617" s="279" t="s">
        <v>2722</v>
      </c>
      <c r="B617" s="279"/>
      <c r="I617" t="s">
        <v>2723</v>
      </c>
    </row>
    <row r="618" spans="1:9" x14ac:dyDescent="0.3">
      <c r="A618" s="278" t="s">
        <v>1719</v>
      </c>
      <c r="B618" s="279"/>
      <c r="I618" t="s">
        <v>2724</v>
      </c>
    </row>
    <row r="619" spans="1:9" x14ac:dyDescent="0.3">
      <c r="A619" s="279" t="s">
        <v>2725</v>
      </c>
      <c r="B619" s="279"/>
      <c r="I619" t="s">
        <v>2726</v>
      </c>
    </row>
    <row r="620" spans="1:9" x14ac:dyDescent="0.3">
      <c r="A620" s="279" t="s">
        <v>2727</v>
      </c>
      <c r="B620" s="279"/>
      <c r="I620" t="s">
        <v>2728</v>
      </c>
    </row>
    <row r="621" spans="1:9" x14ac:dyDescent="0.3">
      <c r="A621" s="279" t="s">
        <v>2729</v>
      </c>
      <c r="B621" s="279"/>
      <c r="I621" t="s">
        <v>2730</v>
      </c>
    </row>
    <row r="622" spans="1:9" x14ac:dyDescent="0.3">
      <c r="A622" s="278" t="s">
        <v>1724</v>
      </c>
      <c r="B622" s="279"/>
      <c r="I622" t="s">
        <v>2731</v>
      </c>
    </row>
    <row r="623" spans="1:9" x14ac:dyDescent="0.3">
      <c r="A623" s="279" t="s">
        <v>2732</v>
      </c>
      <c r="B623" s="279"/>
      <c r="I623" t="s">
        <v>2733</v>
      </c>
    </row>
    <row r="624" spans="1:9" x14ac:dyDescent="0.3">
      <c r="A624" s="279" t="s">
        <v>2734</v>
      </c>
      <c r="B624" s="279"/>
      <c r="I624" t="s">
        <v>2735</v>
      </c>
    </row>
    <row r="625" spans="1:9" x14ac:dyDescent="0.3">
      <c r="A625" s="276" t="s">
        <v>1835</v>
      </c>
      <c r="B625" s="279"/>
      <c r="I625" t="s">
        <v>2736</v>
      </c>
    </row>
    <row r="626" spans="1:9" x14ac:dyDescent="0.3">
      <c r="A626" s="275" t="s">
        <v>1732</v>
      </c>
      <c r="B626" s="279"/>
      <c r="I626" t="s">
        <v>2737</v>
      </c>
    </row>
    <row r="627" spans="1:9" x14ac:dyDescent="0.3">
      <c r="A627" s="278" t="s">
        <v>1737</v>
      </c>
      <c r="B627" s="279"/>
      <c r="I627" t="s">
        <v>2738</v>
      </c>
    </row>
    <row r="628" spans="1:9" x14ac:dyDescent="0.3">
      <c r="A628" s="279" t="s">
        <v>2739</v>
      </c>
      <c r="B628" s="279"/>
      <c r="I628" t="s">
        <v>2740</v>
      </c>
    </row>
    <row r="629" spans="1:9" x14ac:dyDescent="0.3">
      <c r="A629" s="279" t="s">
        <v>2741</v>
      </c>
      <c r="B629" s="279"/>
      <c r="I629" t="s">
        <v>2742</v>
      </c>
    </row>
    <row r="630" spans="1:9" x14ac:dyDescent="0.3">
      <c r="A630" s="278" t="s">
        <v>1742</v>
      </c>
      <c r="B630" s="279"/>
      <c r="I630" t="s">
        <v>2743</v>
      </c>
    </row>
    <row r="631" spans="1:9" x14ac:dyDescent="0.3">
      <c r="A631" s="279" t="s">
        <v>2744</v>
      </c>
      <c r="B631" s="279"/>
      <c r="I631" t="s">
        <v>2745</v>
      </c>
    </row>
    <row r="632" spans="1:9" x14ac:dyDescent="0.3">
      <c r="A632" s="278" t="s">
        <v>1747</v>
      </c>
      <c r="B632" s="279"/>
      <c r="I632" t="s">
        <v>2746</v>
      </c>
    </row>
    <row r="633" spans="1:9" x14ac:dyDescent="0.3">
      <c r="A633" s="279" t="s">
        <v>2747</v>
      </c>
      <c r="B633" s="279"/>
      <c r="I633" t="s">
        <v>2748</v>
      </c>
    </row>
    <row r="634" spans="1:9" x14ac:dyDescent="0.3">
      <c r="A634" s="279" t="s">
        <v>2749</v>
      </c>
      <c r="B634" s="279"/>
      <c r="I634" t="s">
        <v>2750</v>
      </c>
    </row>
    <row r="635" spans="1:9" x14ac:dyDescent="0.3">
      <c r="A635" s="279" t="s">
        <v>2751</v>
      </c>
      <c r="B635" s="279"/>
      <c r="I635" t="s">
        <v>2752</v>
      </c>
    </row>
    <row r="636" spans="1:9" x14ac:dyDescent="0.3">
      <c r="A636" s="279" t="s">
        <v>2753</v>
      </c>
      <c r="B636" s="279"/>
      <c r="I636" t="s">
        <v>2754</v>
      </c>
    </row>
    <row r="637" spans="1:9" x14ac:dyDescent="0.3">
      <c r="A637" s="279" t="s">
        <v>2755</v>
      </c>
      <c r="B637" s="279"/>
      <c r="I637" t="s">
        <v>2756</v>
      </c>
    </row>
    <row r="638" spans="1:9" x14ac:dyDescent="0.3">
      <c r="A638" s="278" t="s">
        <v>1752</v>
      </c>
      <c r="B638" s="279"/>
      <c r="I638" t="s">
        <v>2757</v>
      </c>
    </row>
    <row r="639" spans="1:9" x14ac:dyDescent="0.3">
      <c r="A639" s="279" t="s">
        <v>2758</v>
      </c>
      <c r="B639" s="279"/>
      <c r="I639" t="s">
        <v>2759</v>
      </c>
    </row>
    <row r="640" spans="1:9" x14ac:dyDescent="0.3">
      <c r="A640" s="279" t="s">
        <v>2760</v>
      </c>
      <c r="B640" s="279"/>
      <c r="I640" t="s">
        <v>2761</v>
      </c>
    </row>
    <row r="641" spans="1:9" x14ac:dyDescent="0.3">
      <c r="A641" s="278" t="s">
        <v>1757</v>
      </c>
      <c r="B641" s="279"/>
      <c r="I641" t="s">
        <v>2762</v>
      </c>
    </row>
    <row r="642" spans="1:9" x14ac:dyDescent="0.3">
      <c r="A642" s="279" t="s">
        <v>2763</v>
      </c>
      <c r="B642" s="279"/>
      <c r="I642" t="s">
        <v>2764</v>
      </c>
    </row>
    <row r="643" spans="1:9" x14ac:dyDescent="0.3">
      <c r="A643" s="275" t="s">
        <v>1762</v>
      </c>
      <c r="B643" s="279"/>
      <c r="I643" t="s">
        <v>2765</v>
      </c>
    </row>
    <row r="644" spans="1:9" x14ac:dyDescent="0.3">
      <c r="A644" s="278" t="s">
        <v>1767</v>
      </c>
      <c r="B644" s="279"/>
      <c r="I644" t="s">
        <v>2766</v>
      </c>
    </row>
    <row r="645" spans="1:9" x14ac:dyDescent="0.3">
      <c r="A645" s="279" t="s">
        <v>2767</v>
      </c>
      <c r="B645" s="279"/>
      <c r="I645" t="s">
        <v>2768</v>
      </c>
    </row>
    <row r="646" spans="1:9" x14ac:dyDescent="0.3">
      <c r="A646" s="278" t="s">
        <v>1771</v>
      </c>
      <c r="B646" s="279"/>
      <c r="I646" t="s">
        <v>2769</v>
      </c>
    </row>
    <row r="647" spans="1:9" x14ac:dyDescent="0.3">
      <c r="A647" s="279" t="s">
        <v>2770</v>
      </c>
      <c r="B647" s="279"/>
      <c r="I647" t="s">
        <v>2771</v>
      </c>
    </row>
    <row r="648" spans="1:9" x14ac:dyDescent="0.3">
      <c r="A648" s="278" t="s">
        <v>1776</v>
      </c>
      <c r="B648" s="279"/>
      <c r="I648" t="s">
        <v>2772</v>
      </c>
    </row>
    <row r="649" spans="1:9" x14ac:dyDescent="0.3">
      <c r="A649" s="279" t="s">
        <v>2773</v>
      </c>
      <c r="B649" s="279"/>
      <c r="I649" t="s">
        <v>2774</v>
      </c>
    </row>
    <row r="650" spans="1:9" x14ac:dyDescent="0.3">
      <c r="A650" s="278" t="s">
        <v>1780</v>
      </c>
      <c r="B650" s="279"/>
      <c r="I650" t="s">
        <v>2775</v>
      </c>
    </row>
    <row r="651" spans="1:9" x14ac:dyDescent="0.3">
      <c r="A651" s="279" t="s">
        <v>2776</v>
      </c>
      <c r="B651" s="279"/>
      <c r="I651" t="s">
        <v>2777</v>
      </c>
    </row>
    <row r="652" spans="1:9" x14ac:dyDescent="0.3">
      <c r="A652" s="275" t="s">
        <v>1785</v>
      </c>
      <c r="B652" s="279"/>
      <c r="I652" t="s">
        <v>2778</v>
      </c>
    </row>
    <row r="653" spans="1:9" x14ac:dyDescent="0.3">
      <c r="A653" s="278" t="s">
        <v>1789</v>
      </c>
      <c r="B653" s="279"/>
      <c r="I653" t="s">
        <v>2779</v>
      </c>
    </row>
    <row r="654" spans="1:9" x14ac:dyDescent="0.3">
      <c r="A654" s="279" t="s">
        <v>2780</v>
      </c>
      <c r="B654" s="279"/>
      <c r="I654" t="s">
        <v>2781</v>
      </c>
    </row>
    <row r="655" spans="1:9" x14ac:dyDescent="0.3">
      <c r="A655" s="278" t="s">
        <v>1794</v>
      </c>
      <c r="B655" s="279"/>
      <c r="I655" t="s">
        <v>2782</v>
      </c>
    </row>
    <row r="656" spans="1:9" x14ac:dyDescent="0.3">
      <c r="A656" s="279" t="s">
        <v>2783</v>
      </c>
      <c r="B656" s="279"/>
      <c r="I656" t="s">
        <v>2784</v>
      </c>
    </row>
    <row r="657" spans="1:9" x14ac:dyDescent="0.3">
      <c r="A657" s="279" t="s">
        <v>2785</v>
      </c>
      <c r="B657" s="279"/>
      <c r="I657" t="s">
        <v>2786</v>
      </c>
    </row>
    <row r="658" spans="1:9" x14ac:dyDescent="0.3">
      <c r="A658" s="275" t="s">
        <v>1799</v>
      </c>
      <c r="B658" s="279"/>
      <c r="I658" t="s">
        <v>2787</v>
      </c>
    </row>
    <row r="659" spans="1:9" x14ac:dyDescent="0.3">
      <c r="A659" s="278" t="s">
        <v>1803</v>
      </c>
      <c r="B659" s="279"/>
      <c r="I659" t="s">
        <v>2788</v>
      </c>
    </row>
    <row r="660" spans="1:9" x14ac:dyDescent="0.3">
      <c r="A660" s="279" t="s">
        <v>2789</v>
      </c>
      <c r="B660" s="279"/>
      <c r="I660" t="s">
        <v>2790</v>
      </c>
    </row>
    <row r="661" spans="1:9" x14ac:dyDescent="0.3">
      <c r="A661" s="278" t="s">
        <v>1808</v>
      </c>
      <c r="B661" s="279"/>
      <c r="I661" t="s">
        <v>2791</v>
      </c>
    </row>
    <row r="662" spans="1:9" x14ac:dyDescent="0.3">
      <c r="A662" s="279" t="s">
        <v>2792</v>
      </c>
      <c r="B662" s="279"/>
      <c r="I662" t="s">
        <v>2793</v>
      </c>
    </row>
    <row r="663" spans="1:9" x14ac:dyDescent="0.3">
      <c r="A663" s="279" t="s">
        <v>2794</v>
      </c>
      <c r="B663" s="279"/>
      <c r="I663" t="s">
        <v>2795</v>
      </c>
    </row>
    <row r="664" spans="1:9" x14ac:dyDescent="0.3">
      <c r="A664" s="279" t="s">
        <v>2796</v>
      </c>
      <c r="B664" s="279"/>
      <c r="I664" t="s">
        <v>2797</v>
      </c>
    </row>
    <row r="665" spans="1:9" x14ac:dyDescent="0.3">
      <c r="A665" s="279" t="s">
        <v>2798</v>
      </c>
      <c r="B665" s="279"/>
      <c r="I665" t="s">
        <v>2799</v>
      </c>
    </row>
    <row r="666" spans="1:9" x14ac:dyDescent="0.3">
      <c r="A666" s="279" t="s">
        <v>2800</v>
      </c>
      <c r="B666" s="279"/>
      <c r="I666" t="s">
        <v>2801</v>
      </c>
    </row>
    <row r="667" spans="1:9" x14ac:dyDescent="0.3">
      <c r="A667" s="279" t="s">
        <v>2802</v>
      </c>
      <c r="B667" s="279"/>
      <c r="I667" t="s">
        <v>2803</v>
      </c>
    </row>
    <row r="668" spans="1:9" x14ac:dyDescent="0.3">
      <c r="A668" s="278" t="s">
        <v>1813</v>
      </c>
      <c r="B668" s="279"/>
      <c r="I668" t="s">
        <v>2804</v>
      </c>
    </row>
    <row r="669" spans="1:9" x14ac:dyDescent="0.3">
      <c r="A669" s="279" t="s">
        <v>2805</v>
      </c>
      <c r="B669" s="279"/>
      <c r="I669" t="s">
        <v>2806</v>
      </c>
    </row>
    <row r="670" spans="1:9" x14ac:dyDescent="0.3">
      <c r="A670" s="279" t="s">
        <v>2807</v>
      </c>
      <c r="B670" s="279"/>
      <c r="I670" t="s">
        <v>2808</v>
      </c>
    </row>
    <row r="671" spans="1:9" x14ac:dyDescent="0.3">
      <c r="A671" s="275" t="s">
        <v>1817</v>
      </c>
      <c r="B671" s="279"/>
      <c r="I671" t="s">
        <v>2809</v>
      </c>
    </row>
    <row r="672" spans="1:9" x14ac:dyDescent="0.3">
      <c r="A672" s="278" t="s">
        <v>1822</v>
      </c>
      <c r="B672" s="279"/>
      <c r="I672" t="s">
        <v>2810</v>
      </c>
    </row>
    <row r="673" spans="1:9" x14ac:dyDescent="0.3">
      <c r="A673" s="279" t="s">
        <v>2811</v>
      </c>
      <c r="B673" s="279"/>
      <c r="I673" t="s">
        <v>2812</v>
      </c>
    </row>
    <row r="674" spans="1:9" x14ac:dyDescent="0.3">
      <c r="A674" s="278" t="s">
        <v>1826</v>
      </c>
      <c r="B674" s="279"/>
      <c r="I674" t="s">
        <v>2813</v>
      </c>
    </row>
    <row r="675" spans="1:9" x14ac:dyDescent="0.3">
      <c r="A675" s="279" t="s">
        <v>2814</v>
      </c>
      <c r="B675" s="279"/>
      <c r="I675" t="s">
        <v>2815</v>
      </c>
    </row>
    <row r="676" spans="1:9" x14ac:dyDescent="0.3">
      <c r="A676" s="278" t="s">
        <v>1830</v>
      </c>
      <c r="B676" s="279"/>
      <c r="I676" t="s">
        <v>2816</v>
      </c>
    </row>
    <row r="677" spans="1:9" x14ac:dyDescent="0.3">
      <c r="A677" s="279" t="s">
        <v>2817</v>
      </c>
      <c r="B677" s="279"/>
      <c r="I677" t="s">
        <v>2818</v>
      </c>
    </row>
    <row r="678" spans="1:9" x14ac:dyDescent="0.3">
      <c r="A678" s="276" t="s">
        <v>1896</v>
      </c>
      <c r="B678" s="279"/>
      <c r="I678" t="s">
        <v>2819</v>
      </c>
    </row>
    <row r="679" spans="1:9" x14ac:dyDescent="0.3">
      <c r="A679" s="275" t="s">
        <v>1839</v>
      </c>
      <c r="B679" s="279"/>
      <c r="I679" t="s">
        <v>2820</v>
      </c>
    </row>
    <row r="680" spans="1:9" x14ac:dyDescent="0.3">
      <c r="A680" s="278" t="s">
        <v>1844</v>
      </c>
      <c r="B680" s="279"/>
      <c r="I680" t="s">
        <v>2821</v>
      </c>
    </row>
    <row r="681" spans="1:9" x14ac:dyDescent="0.3">
      <c r="A681" s="279" t="s">
        <v>2822</v>
      </c>
      <c r="B681" s="279"/>
      <c r="I681" t="s">
        <v>2823</v>
      </c>
    </row>
    <row r="682" spans="1:9" x14ac:dyDescent="0.3">
      <c r="A682" s="278" t="s">
        <v>1848</v>
      </c>
      <c r="B682" s="279"/>
      <c r="I682" t="s">
        <v>2824</v>
      </c>
    </row>
    <row r="683" spans="1:9" x14ac:dyDescent="0.3">
      <c r="A683" s="279" t="s">
        <v>2825</v>
      </c>
      <c r="B683" s="279"/>
      <c r="I683" t="s">
        <v>2826</v>
      </c>
    </row>
    <row r="684" spans="1:9" x14ac:dyDescent="0.3">
      <c r="A684" s="278" t="s">
        <v>1852</v>
      </c>
      <c r="B684" s="279"/>
      <c r="I684" t="s">
        <v>2827</v>
      </c>
    </row>
    <row r="685" spans="1:9" x14ac:dyDescent="0.3">
      <c r="A685" s="279" t="s">
        <v>2828</v>
      </c>
      <c r="B685" s="279"/>
      <c r="I685" t="s">
        <v>2829</v>
      </c>
    </row>
    <row r="686" spans="1:9" x14ac:dyDescent="0.3">
      <c r="A686" s="278" t="s">
        <v>1857</v>
      </c>
      <c r="B686" s="279"/>
      <c r="I686" t="s">
        <v>2830</v>
      </c>
    </row>
    <row r="687" spans="1:9" x14ac:dyDescent="0.3">
      <c r="A687" s="279" t="s">
        <v>2831</v>
      </c>
      <c r="B687" s="279"/>
      <c r="I687" t="s">
        <v>2832</v>
      </c>
    </row>
    <row r="688" spans="1:9" x14ac:dyDescent="0.3">
      <c r="A688" s="278" t="s">
        <v>1862</v>
      </c>
      <c r="B688" s="279"/>
      <c r="I688" t="s">
        <v>2833</v>
      </c>
    </row>
    <row r="689" spans="1:9" x14ac:dyDescent="0.3">
      <c r="A689" s="279" t="s">
        <v>2834</v>
      </c>
      <c r="B689" s="279"/>
      <c r="I689" t="s">
        <v>2835</v>
      </c>
    </row>
    <row r="690" spans="1:9" x14ac:dyDescent="0.3">
      <c r="A690" s="275" t="s">
        <v>1866</v>
      </c>
      <c r="B690" s="279"/>
      <c r="I690" t="s">
        <v>2836</v>
      </c>
    </row>
    <row r="691" spans="1:9" x14ac:dyDescent="0.3">
      <c r="A691" s="278" t="s">
        <v>1871</v>
      </c>
      <c r="B691" s="279"/>
      <c r="I691" t="s">
        <v>2837</v>
      </c>
    </row>
    <row r="692" spans="1:9" x14ac:dyDescent="0.3">
      <c r="A692" s="279" t="s">
        <v>2838</v>
      </c>
      <c r="B692" s="279"/>
      <c r="I692" t="s">
        <v>2839</v>
      </c>
    </row>
    <row r="693" spans="1:9" x14ac:dyDescent="0.3">
      <c r="A693" s="279" t="s">
        <v>2840</v>
      </c>
      <c r="B693" s="279"/>
      <c r="I693" t="s">
        <v>2841</v>
      </c>
    </row>
    <row r="694" spans="1:9" x14ac:dyDescent="0.3">
      <c r="A694" s="278" t="s">
        <v>1876</v>
      </c>
      <c r="B694" s="279"/>
      <c r="I694" t="s">
        <v>2842</v>
      </c>
    </row>
    <row r="695" spans="1:9" x14ac:dyDescent="0.3">
      <c r="A695" s="279" t="s">
        <v>1881</v>
      </c>
      <c r="B695" s="279"/>
      <c r="I695" t="s">
        <v>2843</v>
      </c>
    </row>
    <row r="696" spans="1:9" x14ac:dyDescent="0.3">
      <c r="A696" s="279" t="s">
        <v>2844</v>
      </c>
      <c r="B696" s="279"/>
      <c r="I696" t="s">
        <v>2845</v>
      </c>
    </row>
    <row r="697" spans="1:9" x14ac:dyDescent="0.3">
      <c r="A697" s="278" t="s">
        <v>1886</v>
      </c>
      <c r="B697" s="279"/>
      <c r="I697" t="s">
        <v>2846</v>
      </c>
    </row>
    <row r="698" spans="1:9" x14ac:dyDescent="0.3">
      <c r="A698" s="279" t="s">
        <v>2847</v>
      </c>
      <c r="B698" s="279"/>
      <c r="I698" t="s">
        <v>2848</v>
      </c>
    </row>
    <row r="699" spans="1:9" x14ac:dyDescent="0.3">
      <c r="A699" s="278" t="s">
        <v>1891</v>
      </c>
      <c r="B699" s="279"/>
      <c r="I699" t="s">
        <v>2849</v>
      </c>
    </row>
    <row r="700" spans="1:9" x14ac:dyDescent="0.3">
      <c r="A700" s="279" t="s">
        <v>2850</v>
      </c>
      <c r="B700" s="279"/>
      <c r="I700" t="s">
        <v>2851</v>
      </c>
    </row>
    <row r="701" spans="1:9" x14ac:dyDescent="0.3">
      <c r="A701" s="276" t="s">
        <v>1947</v>
      </c>
      <c r="B701" s="279"/>
      <c r="I701" t="s">
        <v>2852</v>
      </c>
    </row>
    <row r="702" spans="1:9" x14ac:dyDescent="0.3">
      <c r="A702" s="275" t="s">
        <v>1900</v>
      </c>
      <c r="B702" s="279"/>
      <c r="I702" t="s">
        <v>2853</v>
      </c>
    </row>
    <row r="703" spans="1:9" x14ac:dyDescent="0.3">
      <c r="A703" s="278" t="s">
        <v>1904</v>
      </c>
      <c r="B703" s="279"/>
      <c r="I703" t="s">
        <v>2854</v>
      </c>
    </row>
    <row r="704" spans="1:9" x14ac:dyDescent="0.3">
      <c r="A704" s="279" t="s">
        <v>2855</v>
      </c>
      <c r="B704" s="279"/>
      <c r="I704" t="s">
        <v>2856</v>
      </c>
    </row>
    <row r="705" spans="1:9" x14ac:dyDescent="0.3">
      <c r="A705" s="279" t="s">
        <v>2857</v>
      </c>
      <c r="B705" s="279"/>
      <c r="I705" t="s">
        <v>2858</v>
      </c>
    </row>
    <row r="706" spans="1:9" x14ac:dyDescent="0.3">
      <c r="A706" s="279" t="s">
        <v>2859</v>
      </c>
      <c r="B706" s="279"/>
      <c r="I706" t="s">
        <v>2860</v>
      </c>
    </row>
    <row r="707" spans="1:9" x14ac:dyDescent="0.3">
      <c r="A707" s="279" t="s">
        <v>2861</v>
      </c>
      <c r="B707" s="279"/>
      <c r="I707" t="s">
        <v>2862</v>
      </c>
    </row>
    <row r="708" spans="1:9" x14ac:dyDescent="0.3">
      <c r="A708" s="278" t="s">
        <v>1909</v>
      </c>
      <c r="B708" s="279"/>
      <c r="I708" t="s">
        <v>2863</v>
      </c>
    </row>
    <row r="709" spans="1:9" x14ac:dyDescent="0.3">
      <c r="A709" s="279" t="s">
        <v>2864</v>
      </c>
      <c r="B709" s="279"/>
      <c r="I709" t="s">
        <v>2865</v>
      </c>
    </row>
    <row r="710" spans="1:9" x14ac:dyDescent="0.3">
      <c r="A710" s="279" t="s">
        <v>2866</v>
      </c>
      <c r="B710" s="279"/>
      <c r="I710" t="s">
        <v>2867</v>
      </c>
    </row>
    <row r="711" spans="1:9" x14ac:dyDescent="0.3">
      <c r="A711" s="275" t="s">
        <v>1914</v>
      </c>
      <c r="B711" s="279"/>
      <c r="I711" t="s">
        <v>2868</v>
      </c>
    </row>
    <row r="712" spans="1:9" x14ac:dyDescent="0.3">
      <c r="A712" s="278" t="s">
        <v>1919</v>
      </c>
      <c r="B712" s="279"/>
      <c r="I712" t="s">
        <v>2869</v>
      </c>
    </row>
    <row r="713" spans="1:9" x14ac:dyDescent="0.3">
      <c r="A713" s="279" t="s">
        <v>2870</v>
      </c>
      <c r="B713" s="279"/>
      <c r="I713" t="s">
        <v>2871</v>
      </c>
    </row>
    <row r="714" spans="1:9" x14ac:dyDescent="0.3">
      <c r="A714" s="279" t="s">
        <v>2872</v>
      </c>
      <c r="B714" s="279"/>
      <c r="I714" t="s">
        <v>2873</v>
      </c>
    </row>
    <row r="715" spans="1:9" x14ac:dyDescent="0.3">
      <c r="A715" s="279" t="s">
        <v>2874</v>
      </c>
      <c r="B715" s="279"/>
      <c r="I715" t="s">
        <v>2875</v>
      </c>
    </row>
    <row r="716" spans="1:9" x14ac:dyDescent="0.3">
      <c r="A716" s="279" t="s">
        <v>2876</v>
      </c>
      <c r="B716" s="279"/>
      <c r="I716" t="s">
        <v>2877</v>
      </c>
    </row>
    <row r="717" spans="1:9" x14ac:dyDescent="0.3">
      <c r="A717" s="278" t="s">
        <v>1924</v>
      </c>
      <c r="B717" s="279"/>
      <c r="I717" t="s">
        <v>2878</v>
      </c>
    </row>
    <row r="718" spans="1:9" x14ac:dyDescent="0.3">
      <c r="A718" s="279" t="s">
        <v>2879</v>
      </c>
      <c r="B718" s="279"/>
      <c r="I718" t="s">
        <v>2880</v>
      </c>
    </row>
    <row r="719" spans="1:9" x14ac:dyDescent="0.3">
      <c r="A719" s="275" t="s">
        <v>1929</v>
      </c>
      <c r="B719" s="279"/>
      <c r="I719" t="s">
        <v>2881</v>
      </c>
    </row>
    <row r="720" spans="1:9" x14ac:dyDescent="0.3">
      <c r="A720" s="278" t="s">
        <v>1933</v>
      </c>
      <c r="B720" s="279"/>
      <c r="I720" t="s">
        <v>2882</v>
      </c>
    </row>
    <row r="721" spans="1:9" x14ac:dyDescent="0.3">
      <c r="A721" s="279" t="s">
        <v>2883</v>
      </c>
      <c r="B721" s="279"/>
      <c r="I721" t="s">
        <v>2884</v>
      </c>
    </row>
    <row r="722" spans="1:9" x14ac:dyDescent="0.3">
      <c r="A722" s="278" t="s">
        <v>1938</v>
      </c>
      <c r="B722" s="279"/>
      <c r="I722" t="s">
        <v>2885</v>
      </c>
    </row>
    <row r="723" spans="1:9" x14ac:dyDescent="0.3">
      <c r="A723" s="279" t="s">
        <v>2886</v>
      </c>
      <c r="B723" s="279"/>
      <c r="I723" t="s">
        <v>2887</v>
      </c>
    </row>
    <row r="724" spans="1:9" x14ac:dyDescent="0.3">
      <c r="A724" s="278" t="s">
        <v>1942</v>
      </c>
      <c r="B724" s="279"/>
      <c r="I724" t="s">
        <v>2888</v>
      </c>
    </row>
    <row r="725" spans="1:9" x14ac:dyDescent="0.3">
      <c r="A725" s="279" t="s">
        <v>2889</v>
      </c>
      <c r="B725" s="279"/>
      <c r="I725" t="s">
        <v>2890</v>
      </c>
    </row>
    <row r="726" spans="1:9" x14ac:dyDescent="0.3">
      <c r="A726" s="279" t="s">
        <v>2891</v>
      </c>
      <c r="B726" s="279"/>
      <c r="I726" t="s">
        <v>2892</v>
      </c>
    </row>
    <row r="727" spans="1:9" x14ac:dyDescent="0.3">
      <c r="A727" s="276" t="s">
        <v>1992</v>
      </c>
      <c r="B727" s="279"/>
      <c r="I727" t="s">
        <v>2893</v>
      </c>
    </row>
    <row r="728" spans="1:9" x14ac:dyDescent="0.3">
      <c r="A728" s="275" t="s">
        <v>1952</v>
      </c>
      <c r="B728" s="279"/>
      <c r="I728" t="s">
        <v>2894</v>
      </c>
    </row>
    <row r="729" spans="1:9" x14ac:dyDescent="0.3">
      <c r="A729" s="278" t="s">
        <v>1956</v>
      </c>
      <c r="B729" s="279"/>
      <c r="I729" t="s">
        <v>2895</v>
      </c>
    </row>
    <row r="730" spans="1:9" x14ac:dyDescent="0.3">
      <c r="A730" s="279" t="s">
        <v>2896</v>
      </c>
      <c r="B730" s="279"/>
      <c r="I730" t="s">
        <v>2897</v>
      </c>
    </row>
    <row r="731" spans="1:9" x14ac:dyDescent="0.3">
      <c r="A731" s="278" t="s">
        <v>1961</v>
      </c>
      <c r="B731" s="279"/>
      <c r="I731" t="s">
        <v>2898</v>
      </c>
    </row>
    <row r="732" spans="1:9" x14ac:dyDescent="0.3">
      <c r="A732" s="279" t="s">
        <v>2899</v>
      </c>
      <c r="B732" s="279"/>
      <c r="I732" t="s">
        <v>2900</v>
      </c>
    </row>
    <row r="733" spans="1:9" x14ac:dyDescent="0.3">
      <c r="A733" s="278" t="s">
        <v>1966</v>
      </c>
      <c r="B733" s="279"/>
      <c r="I733" t="s">
        <v>2901</v>
      </c>
    </row>
    <row r="734" spans="1:9" x14ac:dyDescent="0.3">
      <c r="A734" s="279" t="s">
        <v>2902</v>
      </c>
      <c r="B734" s="279"/>
      <c r="I734" t="s">
        <v>2903</v>
      </c>
    </row>
    <row r="735" spans="1:9" x14ac:dyDescent="0.3">
      <c r="A735" s="275" t="s">
        <v>1971</v>
      </c>
      <c r="B735" s="279"/>
      <c r="I735" t="s">
        <v>2904</v>
      </c>
    </row>
    <row r="736" spans="1:9" x14ac:dyDescent="0.3">
      <c r="A736" s="278" t="s">
        <v>1976</v>
      </c>
      <c r="B736" s="279"/>
      <c r="I736" t="s">
        <v>2905</v>
      </c>
    </row>
    <row r="737" spans="1:9" x14ac:dyDescent="0.3">
      <c r="A737" s="279" t="s">
        <v>2906</v>
      </c>
      <c r="B737" s="279"/>
      <c r="I737" t="s">
        <v>2907</v>
      </c>
    </row>
    <row r="738" spans="1:9" x14ac:dyDescent="0.3">
      <c r="A738" s="278" t="s">
        <v>1979</v>
      </c>
      <c r="B738" s="279"/>
      <c r="I738" t="s">
        <v>2908</v>
      </c>
    </row>
    <row r="739" spans="1:9" x14ac:dyDescent="0.3">
      <c r="A739" s="279" t="s">
        <v>2909</v>
      </c>
      <c r="B739" s="279"/>
      <c r="I739" t="s">
        <v>2910</v>
      </c>
    </row>
    <row r="740" spans="1:9" x14ac:dyDescent="0.3">
      <c r="A740" s="278" t="s">
        <v>1981</v>
      </c>
      <c r="B740" s="279"/>
      <c r="I740" t="s">
        <v>2911</v>
      </c>
    </row>
    <row r="741" spans="1:9" x14ac:dyDescent="0.3">
      <c r="A741" s="279" t="s">
        <v>2912</v>
      </c>
      <c r="B741" s="279"/>
      <c r="I741" t="s">
        <v>2913</v>
      </c>
    </row>
    <row r="742" spans="1:9" x14ac:dyDescent="0.3">
      <c r="A742" s="275" t="s">
        <v>1984</v>
      </c>
      <c r="B742" s="279"/>
      <c r="I742" t="s">
        <v>2914</v>
      </c>
    </row>
    <row r="743" spans="1:9" x14ac:dyDescent="0.3">
      <c r="A743" s="278" t="s">
        <v>1987</v>
      </c>
      <c r="B743" s="279"/>
      <c r="I743" t="s">
        <v>2915</v>
      </c>
    </row>
    <row r="744" spans="1:9" x14ac:dyDescent="0.3">
      <c r="A744" s="279" t="s">
        <v>2916</v>
      </c>
      <c r="B744" s="279"/>
      <c r="I744" t="s">
        <v>2917</v>
      </c>
    </row>
    <row r="745" spans="1:9" x14ac:dyDescent="0.3">
      <c r="A745" s="278" t="s">
        <v>1989</v>
      </c>
      <c r="B745" s="279"/>
      <c r="I745" t="s">
        <v>2918</v>
      </c>
    </row>
    <row r="746" spans="1:9" x14ac:dyDescent="0.3">
      <c r="A746" s="279" t="s">
        <v>2919</v>
      </c>
      <c r="B746" s="279"/>
      <c r="I746" t="s">
        <v>2920</v>
      </c>
    </row>
    <row r="747" spans="1:9" x14ac:dyDescent="0.3">
      <c r="A747" s="279" t="s">
        <v>2921</v>
      </c>
      <c r="B747" s="279"/>
      <c r="I747" t="s">
        <v>2922</v>
      </c>
    </row>
    <row r="748" spans="1:9" x14ac:dyDescent="0.3">
      <c r="A748" s="276" t="s">
        <v>2029</v>
      </c>
      <c r="B748" s="279"/>
      <c r="I748" t="s">
        <v>2923</v>
      </c>
    </row>
    <row r="749" spans="1:9" x14ac:dyDescent="0.3">
      <c r="A749" s="275" t="s">
        <v>1995</v>
      </c>
      <c r="B749" s="279"/>
      <c r="I749" t="s">
        <v>2924</v>
      </c>
    </row>
    <row r="750" spans="1:9" x14ac:dyDescent="0.3">
      <c r="A750" s="278" t="s">
        <v>1998</v>
      </c>
      <c r="B750" s="279"/>
      <c r="I750" t="s">
        <v>2925</v>
      </c>
    </row>
    <row r="751" spans="1:9" x14ac:dyDescent="0.3">
      <c r="A751" s="279" t="s">
        <v>2926</v>
      </c>
      <c r="B751" s="279"/>
      <c r="I751" t="s">
        <v>2927</v>
      </c>
    </row>
    <row r="752" spans="1:9" x14ac:dyDescent="0.3">
      <c r="A752" s="279" t="s">
        <v>2928</v>
      </c>
      <c r="B752" s="279"/>
      <c r="I752" t="s">
        <v>2929</v>
      </c>
    </row>
    <row r="753" spans="1:9" x14ac:dyDescent="0.3">
      <c r="A753" s="278" t="s">
        <v>2001</v>
      </c>
      <c r="B753" s="279"/>
      <c r="I753" t="s">
        <v>2930</v>
      </c>
    </row>
    <row r="754" spans="1:9" x14ac:dyDescent="0.3">
      <c r="A754" s="279" t="s">
        <v>2931</v>
      </c>
      <c r="B754" s="279"/>
      <c r="I754" t="s">
        <v>2932</v>
      </c>
    </row>
    <row r="755" spans="1:9" x14ac:dyDescent="0.3">
      <c r="A755" s="279" t="s">
        <v>2933</v>
      </c>
      <c r="B755" s="279"/>
      <c r="I755" t="s">
        <v>2934</v>
      </c>
    </row>
    <row r="756" spans="1:9" x14ac:dyDescent="0.3">
      <c r="A756" s="278" t="s">
        <v>2004</v>
      </c>
      <c r="B756" s="279"/>
      <c r="I756" t="s">
        <v>2935</v>
      </c>
    </row>
    <row r="757" spans="1:9" x14ac:dyDescent="0.3">
      <c r="A757" s="279" t="s">
        <v>2936</v>
      </c>
      <c r="B757" s="279"/>
      <c r="I757" t="s">
        <v>2937</v>
      </c>
    </row>
    <row r="758" spans="1:9" x14ac:dyDescent="0.3">
      <c r="A758" s="279" t="s">
        <v>2938</v>
      </c>
      <c r="B758" s="279"/>
      <c r="I758" t="s">
        <v>2939</v>
      </c>
    </row>
    <row r="759" spans="1:9" x14ac:dyDescent="0.3">
      <c r="A759" s="278" t="s">
        <v>2007</v>
      </c>
      <c r="B759" s="279"/>
      <c r="I759" t="s">
        <v>2940</v>
      </c>
    </row>
    <row r="760" spans="1:9" x14ac:dyDescent="0.3">
      <c r="A760" s="279" t="s">
        <v>2941</v>
      </c>
      <c r="B760" s="279"/>
      <c r="I760" t="s">
        <v>2942</v>
      </c>
    </row>
    <row r="761" spans="1:9" x14ac:dyDescent="0.3">
      <c r="A761" s="279" t="s">
        <v>2943</v>
      </c>
      <c r="B761" s="279"/>
      <c r="I761" t="s">
        <v>2944</v>
      </c>
    </row>
    <row r="762" spans="1:9" x14ac:dyDescent="0.3">
      <c r="A762" s="279" t="s">
        <v>2945</v>
      </c>
      <c r="B762" s="279"/>
      <c r="I762" t="s">
        <v>2946</v>
      </c>
    </row>
    <row r="763" spans="1:9" x14ac:dyDescent="0.3">
      <c r="A763" s="275" t="s">
        <v>2009</v>
      </c>
      <c r="B763" s="279"/>
      <c r="I763" t="s">
        <v>2947</v>
      </c>
    </row>
    <row r="764" spans="1:9" x14ac:dyDescent="0.3">
      <c r="A764" s="278" t="s">
        <v>2012</v>
      </c>
      <c r="B764" s="279"/>
      <c r="I764" t="s">
        <v>2948</v>
      </c>
    </row>
    <row r="765" spans="1:9" x14ac:dyDescent="0.3">
      <c r="A765" s="279" t="s">
        <v>2949</v>
      </c>
      <c r="B765" s="279"/>
      <c r="I765" t="s">
        <v>2950</v>
      </c>
    </row>
    <row r="766" spans="1:9" x14ac:dyDescent="0.3">
      <c r="A766" s="279" t="s">
        <v>2951</v>
      </c>
      <c r="B766" s="279"/>
      <c r="I766" t="s">
        <v>2952</v>
      </c>
    </row>
    <row r="767" spans="1:9" x14ac:dyDescent="0.3">
      <c r="A767" s="278" t="s">
        <v>2014</v>
      </c>
      <c r="B767" s="279"/>
      <c r="I767" t="s">
        <v>2953</v>
      </c>
    </row>
    <row r="768" spans="1:9" x14ac:dyDescent="0.3">
      <c r="A768" s="279" t="s">
        <v>2954</v>
      </c>
      <c r="B768" s="279"/>
      <c r="I768" t="s">
        <v>2955</v>
      </c>
    </row>
    <row r="769" spans="1:9" x14ac:dyDescent="0.3">
      <c r="A769" s="278" t="s">
        <v>2017</v>
      </c>
      <c r="B769" s="279"/>
      <c r="I769" t="s">
        <v>2956</v>
      </c>
    </row>
    <row r="770" spans="1:9" x14ac:dyDescent="0.3">
      <c r="A770" s="279" t="s">
        <v>2957</v>
      </c>
      <c r="B770" s="279"/>
      <c r="I770" t="s">
        <v>2958</v>
      </c>
    </row>
    <row r="771" spans="1:9" x14ac:dyDescent="0.3">
      <c r="A771" s="275" t="s">
        <v>2020</v>
      </c>
      <c r="B771" s="279"/>
      <c r="I771" t="s">
        <v>2959</v>
      </c>
    </row>
    <row r="772" spans="1:9" x14ac:dyDescent="0.3">
      <c r="A772" s="278" t="s">
        <v>2022</v>
      </c>
      <c r="B772" s="279"/>
      <c r="I772" t="s">
        <v>2960</v>
      </c>
    </row>
    <row r="773" spans="1:9" x14ac:dyDescent="0.3">
      <c r="A773" s="279" t="s">
        <v>2961</v>
      </c>
      <c r="B773" s="279"/>
      <c r="I773" t="s">
        <v>2962</v>
      </c>
    </row>
    <row r="774" spans="1:9" x14ac:dyDescent="0.3">
      <c r="A774" s="279" t="s">
        <v>2963</v>
      </c>
      <c r="B774" s="279"/>
      <c r="I774" t="s">
        <v>2964</v>
      </c>
    </row>
    <row r="775" spans="1:9" x14ac:dyDescent="0.3">
      <c r="A775" s="279" t="s">
        <v>2965</v>
      </c>
      <c r="B775" s="279"/>
      <c r="I775" t="s">
        <v>2966</v>
      </c>
    </row>
    <row r="776" spans="1:9" x14ac:dyDescent="0.3">
      <c r="A776" s="278" t="s">
        <v>2024</v>
      </c>
      <c r="B776" s="279"/>
      <c r="I776" t="s">
        <v>2967</v>
      </c>
    </row>
    <row r="777" spans="1:9" x14ac:dyDescent="0.3">
      <c r="A777" s="279" t="s">
        <v>2968</v>
      </c>
      <c r="B777" s="279"/>
      <c r="I777" t="s">
        <v>2969</v>
      </c>
    </row>
    <row r="778" spans="1:9" x14ac:dyDescent="0.3">
      <c r="A778" s="279" t="s">
        <v>2970</v>
      </c>
      <c r="B778" s="279"/>
      <c r="I778" t="s">
        <v>2971</v>
      </c>
    </row>
    <row r="779" spans="1:9" x14ac:dyDescent="0.3">
      <c r="A779" s="279" t="s">
        <v>2972</v>
      </c>
      <c r="B779" s="279"/>
      <c r="I779" t="s">
        <v>2973</v>
      </c>
    </row>
    <row r="780" spans="1:9" x14ac:dyDescent="0.3">
      <c r="A780" s="278" t="s">
        <v>2027</v>
      </c>
      <c r="B780" s="279"/>
      <c r="I780" t="s">
        <v>2974</v>
      </c>
    </row>
    <row r="781" spans="1:9" x14ac:dyDescent="0.3">
      <c r="A781" s="279" t="s">
        <v>2975</v>
      </c>
      <c r="B781" s="279"/>
      <c r="I781" t="s">
        <v>2976</v>
      </c>
    </row>
    <row r="782" spans="1:9" x14ac:dyDescent="0.3">
      <c r="A782" s="276" t="s">
        <v>2043</v>
      </c>
      <c r="B782" s="279"/>
      <c r="I782" t="s">
        <v>2977</v>
      </c>
    </row>
    <row r="783" spans="1:9" x14ac:dyDescent="0.3">
      <c r="A783" s="275" t="s">
        <v>2032</v>
      </c>
      <c r="B783" s="279"/>
      <c r="I783" t="s">
        <v>2978</v>
      </c>
    </row>
    <row r="784" spans="1:9" x14ac:dyDescent="0.3">
      <c r="A784" s="278" t="s">
        <v>2034</v>
      </c>
      <c r="B784" s="279"/>
      <c r="I784" t="s">
        <v>2979</v>
      </c>
    </row>
    <row r="785" spans="1:9" x14ac:dyDescent="0.3">
      <c r="A785" s="279" t="s">
        <v>2980</v>
      </c>
      <c r="B785" s="279"/>
      <c r="I785" t="s">
        <v>2981</v>
      </c>
    </row>
    <row r="786" spans="1:9" x14ac:dyDescent="0.3">
      <c r="A786" s="279" t="s">
        <v>2982</v>
      </c>
      <c r="B786" s="279"/>
      <c r="I786" t="s">
        <v>2983</v>
      </c>
    </row>
    <row r="787" spans="1:9" x14ac:dyDescent="0.3">
      <c r="A787" s="278" t="s">
        <v>2037</v>
      </c>
      <c r="B787" s="279"/>
      <c r="I787" t="s">
        <v>2984</v>
      </c>
    </row>
    <row r="788" spans="1:9" x14ac:dyDescent="0.3">
      <c r="A788" s="279" t="s">
        <v>2985</v>
      </c>
      <c r="B788" s="279"/>
      <c r="I788" t="s">
        <v>2986</v>
      </c>
    </row>
    <row r="789" spans="1:9" x14ac:dyDescent="0.3">
      <c r="A789" s="278" t="s">
        <v>2040</v>
      </c>
      <c r="B789" s="279"/>
      <c r="I789" t="s">
        <v>2987</v>
      </c>
    </row>
    <row r="790" spans="1:9" x14ac:dyDescent="0.3">
      <c r="A790" s="279" t="s">
        <v>2988</v>
      </c>
      <c r="B790" s="279"/>
      <c r="I790" t="s">
        <v>2989</v>
      </c>
    </row>
    <row r="791" spans="1:9" x14ac:dyDescent="0.3">
      <c r="A791" s="279" t="s">
        <v>2990</v>
      </c>
      <c r="B791" s="279"/>
      <c r="I791" t="s">
        <v>2991</v>
      </c>
    </row>
    <row r="792" spans="1:9" x14ac:dyDescent="0.3">
      <c r="A792" s="276" t="s">
        <v>2108</v>
      </c>
      <c r="B792" s="279"/>
      <c r="I792" t="s">
        <v>2992</v>
      </c>
    </row>
    <row r="793" spans="1:9" x14ac:dyDescent="0.3">
      <c r="A793" s="275" t="s">
        <v>2046</v>
      </c>
      <c r="B793" s="279"/>
      <c r="I793" t="s">
        <v>2993</v>
      </c>
    </row>
    <row r="794" spans="1:9" x14ac:dyDescent="0.3">
      <c r="A794" s="278" t="s">
        <v>2048</v>
      </c>
      <c r="B794" s="279"/>
      <c r="I794" t="s">
        <v>2994</v>
      </c>
    </row>
    <row r="795" spans="1:9" x14ac:dyDescent="0.3">
      <c r="A795" s="279" t="s">
        <v>2995</v>
      </c>
      <c r="B795" s="279"/>
      <c r="I795" t="s">
        <v>2996</v>
      </c>
    </row>
    <row r="796" spans="1:9" x14ac:dyDescent="0.3">
      <c r="A796" s="278" t="s">
        <v>2051</v>
      </c>
      <c r="B796" s="279"/>
      <c r="I796" t="s">
        <v>2997</v>
      </c>
    </row>
    <row r="797" spans="1:9" x14ac:dyDescent="0.3">
      <c r="A797" s="279" t="s">
        <v>2998</v>
      </c>
      <c r="B797" s="279"/>
      <c r="I797" t="s">
        <v>2999</v>
      </c>
    </row>
    <row r="798" spans="1:9" x14ac:dyDescent="0.3">
      <c r="A798" s="275" t="s">
        <v>2054</v>
      </c>
      <c r="B798" s="279"/>
      <c r="I798" t="s">
        <v>3000</v>
      </c>
    </row>
    <row r="799" spans="1:9" x14ac:dyDescent="0.3">
      <c r="A799" s="278" t="s">
        <v>2057</v>
      </c>
      <c r="B799" s="279"/>
      <c r="I799" t="s">
        <v>3001</v>
      </c>
    </row>
    <row r="800" spans="1:9" x14ac:dyDescent="0.3">
      <c r="A800" s="279" t="s">
        <v>3002</v>
      </c>
      <c r="B800" s="279"/>
      <c r="I800" t="s">
        <v>3003</v>
      </c>
    </row>
    <row r="801" spans="1:9" x14ac:dyDescent="0.3">
      <c r="A801" s="278" t="s">
        <v>2060</v>
      </c>
      <c r="B801" s="279"/>
      <c r="I801" t="s">
        <v>3004</v>
      </c>
    </row>
    <row r="802" spans="1:9" x14ac:dyDescent="0.3">
      <c r="A802" s="279" t="s">
        <v>3005</v>
      </c>
      <c r="B802" s="279"/>
      <c r="I802" t="s">
        <v>3006</v>
      </c>
    </row>
    <row r="803" spans="1:9" x14ac:dyDescent="0.3">
      <c r="A803" s="275" t="s">
        <v>2063</v>
      </c>
      <c r="B803" s="279"/>
      <c r="I803" t="s">
        <v>3007</v>
      </c>
    </row>
    <row r="804" spans="1:9" x14ac:dyDescent="0.3">
      <c r="A804" s="278" t="s">
        <v>2066</v>
      </c>
      <c r="B804" s="279"/>
      <c r="I804" t="s">
        <v>3008</v>
      </c>
    </row>
    <row r="805" spans="1:9" x14ac:dyDescent="0.3">
      <c r="A805" s="279" t="s">
        <v>3009</v>
      </c>
      <c r="B805" s="279"/>
      <c r="I805" t="s">
        <v>3010</v>
      </c>
    </row>
    <row r="806" spans="1:9" x14ac:dyDescent="0.3">
      <c r="A806" s="279" t="s">
        <v>3011</v>
      </c>
      <c r="B806" s="279"/>
      <c r="I806" t="s">
        <v>3012</v>
      </c>
    </row>
    <row r="807" spans="1:9" x14ac:dyDescent="0.3">
      <c r="A807" s="278" t="s">
        <v>2068</v>
      </c>
      <c r="B807" s="279"/>
      <c r="I807" t="s">
        <v>3013</v>
      </c>
    </row>
    <row r="808" spans="1:9" x14ac:dyDescent="0.3">
      <c r="A808" s="279" t="s">
        <v>3014</v>
      </c>
      <c r="B808" s="279"/>
      <c r="I808" t="s">
        <v>3015</v>
      </c>
    </row>
    <row r="809" spans="1:9" x14ac:dyDescent="0.3">
      <c r="A809" s="275" t="s">
        <v>2071</v>
      </c>
      <c r="B809" s="279"/>
      <c r="I809" t="s">
        <v>3016</v>
      </c>
    </row>
    <row r="810" spans="1:9" x14ac:dyDescent="0.3">
      <c r="A810" s="278" t="s">
        <v>2074</v>
      </c>
      <c r="B810" s="279"/>
      <c r="I810" t="s">
        <v>3017</v>
      </c>
    </row>
    <row r="811" spans="1:9" x14ac:dyDescent="0.3">
      <c r="A811" s="279" t="s">
        <v>3018</v>
      </c>
      <c r="B811" s="279"/>
      <c r="I811" t="s">
        <v>3019</v>
      </c>
    </row>
    <row r="812" spans="1:9" x14ac:dyDescent="0.3">
      <c r="A812" s="278" t="s">
        <v>2077</v>
      </c>
      <c r="B812" s="279"/>
      <c r="I812" t="s">
        <v>3020</v>
      </c>
    </row>
    <row r="813" spans="1:9" x14ac:dyDescent="0.3">
      <c r="A813" s="279" t="s">
        <v>3021</v>
      </c>
      <c r="B813" s="279"/>
      <c r="I813" t="s">
        <v>3022</v>
      </c>
    </row>
    <row r="814" spans="1:9" x14ac:dyDescent="0.3">
      <c r="A814" s="275" t="s">
        <v>2080</v>
      </c>
      <c r="B814" s="279"/>
      <c r="I814" t="s">
        <v>3023</v>
      </c>
    </row>
    <row r="815" spans="1:9" x14ac:dyDescent="0.3">
      <c r="A815" s="278" t="s">
        <v>2082</v>
      </c>
      <c r="B815" s="279"/>
      <c r="I815" t="s">
        <v>3024</v>
      </c>
    </row>
    <row r="816" spans="1:9" x14ac:dyDescent="0.3">
      <c r="A816" s="279" t="s">
        <v>3025</v>
      </c>
      <c r="B816" s="279"/>
      <c r="I816" t="s">
        <v>3026</v>
      </c>
    </row>
    <row r="817" spans="1:9" x14ac:dyDescent="0.3">
      <c r="A817" s="279" t="s">
        <v>3027</v>
      </c>
      <c r="B817" s="279"/>
      <c r="I817" t="s">
        <v>3028</v>
      </c>
    </row>
    <row r="818" spans="1:9" x14ac:dyDescent="0.3">
      <c r="A818" s="278" t="s">
        <v>2084</v>
      </c>
      <c r="B818" s="279"/>
      <c r="I818" t="s">
        <v>3029</v>
      </c>
    </row>
    <row r="819" spans="1:9" x14ac:dyDescent="0.3">
      <c r="A819" s="279" t="s">
        <v>3030</v>
      </c>
      <c r="B819" s="279"/>
      <c r="I819" t="s">
        <v>3031</v>
      </c>
    </row>
    <row r="820" spans="1:9" x14ac:dyDescent="0.3">
      <c r="A820" s="278" t="s">
        <v>2087</v>
      </c>
      <c r="B820" s="279"/>
      <c r="I820" t="s">
        <v>3032</v>
      </c>
    </row>
    <row r="821" spans="1:9" x14ac:dyDescent="0.3">
      <c r="A821" s="279" t="s">
        <v>3033</v>
      </c>
      <c r="B821" s="279"/>
      <c r="I821" t="s">
        <v>3034</v>
      </c>
    </row>
    <row r="822" spans="1:9" x14ac:dyDescent="0.3">
      <c r="A822" s="275" t="s">
        <v>2090</v>
      </c>
      <c r="B822" s="279"/>
      <c r="I822" t="s">
        <v>3035</v>
      </c>
    </row>
    <row r="823" spans="1:9" x14ac:dyDescent="0.3">
      <c r="A823" s="278" t="s">
        <v>2092</v>
      </c>
      <c r="B823" s="279"/>
      <c r="I823" t="s">
        <v>3036</v>
      </c>
    </row>
    <row r="824" spans="1:9" x14ac:dyDescent="0.3">
      <c r="A824" s="279" t="s">
        <v>3037</v>
      </c>
      <c r="B824" s="279"/>
      <c r="I824" t="s">
        <v>3038</v>
      </c>
    </row>
    <row r="825" spans="1:9" x14ac:dyDescent="0.3">
      <c r="A825" s="279" t="s">
        <v>3039</v>
      </c>
      <c r="B825" s="279"/>
      <c r="I825" t="s">
        <v>3040</v>
      </c>
    </row>
    <row r="826" spans="1:9" x14ac:dyDescent="0.3">
      <c r="A826" s="279" t="s">
        <v>3041</v>
      </c>
      <c r="B826" s="279"/>
      <c r="I826" t="s">
        <v>3042</v>
      </c>
    </row>
    <row r="827" spans="1:9" x14ac:dyDescent="0.3">
      <c r="A827" s="279" t="s">
        <v>3043</v>
      </c>
      <c r="B827" s="279"/>
      <c r="I827" t="s">
        <v>3044</v>
      </c>
    </row>
    <row r="828" spans="1:9" x14ac:dyDescent="0.3">
      <c r="A828" s="278" t="s">
        <v>2095</v>
      </c>
      <c r="B828" s="279"/>
      <c r="I828" t="s">
        <v>3045</v>
      </c>
    </row>
    <row r="829" spans="1:9" x14ac:dyDescent="0.3">
      <c r="A829" s="279" t="s">
        <v>3046</v>
      </c>
      <c r="B829" s="279"/>
      <c r="I829" t="s">
        <v>3047</v>
      </c>
    </row>
    <row r="830" spans="1:9" x14ac:dyDescent="0.3">
      <c r="A830" s="278" t="s">
        <v>2098</v>
      </c>
      <c r="B830" s="279"/>
      <c r="I830" t="s">
        <v>3048</v>
      </c>
    </row>
    <row r="831" spans="1:9" x14ac:dyDescent="0.3">
      <c r="A831" s="279" t="s">
        <v>3049</v>
      </c>
      <c r="B831" s="279"/>
      <c r="I831" t="s">
        <v>3050</v>
      </c>
    </row>
    <row r="832" spans="1:9" x14ac:dyDescent="0.3">
      <c r="A832" s="278" t="s">
        <v>2100</v>
      </c>
      <c r="B832" s="279"/>
      <c r="I832" t="s">
        <v>3051</v>
      </c>
    </row>
    <row r="833" spans="1:9" x14ac:dyDescent="0.3">
      <c r="A833" s="279" t="s">
        <v>3052</v>
      </c>
      <c r="B833" s="279"/>
      <c r="I833" t="s">
        <v>3053</v>
      </c>
    </row>
    <row r="834" spans="1:9" x14ac:dyDescent="0.3">
      <c r="A834" s="279" t="s">
        <v>3054</v>
      </c>
      <c r="B834" s="279"/>
      <c r="I834" t="s">
        <v>3055</v>
      </c>
    </row>
    <row r="835" spans="1:9" x14ac:dyDescent="0.3">
      <c r="A835" s="275" t="s">
        <v>2103</v>
      </c>
      <c r="B835" s="279"/>
      <c r="I835" t="s">
        <v>3056</v>
      </c>
    </row>
    <row r="836" spans="1:9" x14ac:dyDescent="0.3">
      <c r="A836" s="278" t="s">
        <v>2105</v>
      </c>
      <c r="B836" s="279"/>
      <c r="I836" t="s">
        <v>3057</v>
      </c>
    </row>
    <row r="837" spans="1:9" x14ac:dyDescent="0.3">
      <c r="A837" s="279" t="s">
        <v>3058</v>
      </c>
      <c r="B837" s="279"/>
      <c r="I837" t="s">
        <v>3059</v>
      </c>
    </row>
    <row r="838" spans="1:9" x14ac:dyDescent="0.3">
      <c r="A838" s="276" t="s">
        <v>2174</v>
      </c>
      <c r="B838" s="279"/>
      <c r="I838" t="s">
        <v>3060</v>
      </c>
    </row>
    <row r="839" spans="1:9" x14ac:dyDescent="0.3">
      <c r="A839" s="275" t="s">
        <v>2110</v>
      </c>
      <c r="B839" s="279"/>
      <c r="I839" t="s">
        <v>3061</v>
      </c>
    </row>
    <row r="840" spans="1:9" x14ac:dyDescent="0.3">
      <c r="A840" s="278" t="s">
        <v>2113</v>
      </c>
      <c r="B840" s="279"/>
      <c r="I840" t="s">
        <v>3062</v>
      </c>
    </row>
    <row r="841" spans="1:9" x14ac:dyDescent="0.3">
      <c r="A841" s="279" t="s">
        <v>3063</v>
      </c>
      <c r="B841" s="279"/>
      <c r="I841" t="s">
        <v>3064</v>
      </c>
    </row>
    <row r="842" spans="1:9" x14ac:dyDescent="0.3">
      <c r="A842" s="279" t="s">
        <v>3065</v>
      </c>
      <c r="B842" s="279"/>
      <c r="I842" t="s">
        <v>3066</v>
      </c>
    </row>
    <row r="843" spans="1:9" x14ac:dyDescent="0.3">
      <c r="A843" s="278" t="s">
        <v>2116</v>
      </c>
      <c r="B843" s="279"/>
      <c r="I843" t="s">
        <v>3067</v>
      </c>
    </row>
    <row r="844" spans="1:9" x14ac:dyDescent="0.3">
      <c r="A844" s="279" t="s">
        <v>3068</v>
      </c>
      <c r="B844" s="279"/>
      <c r="I844" t="s">
        <v>3069</v>
      </c>
    </row>
    <row r="845" spans="1:9" x14ac:dyDescent="0.3">
      <c r="A845" s="279" t="s">
        <v>3070</v>
      </c>
      <c r="B845" s="279"/>
      <c r="I845" t="s">
        <v>3071</v>
      </c>
    </row>
    <row r="846" spans="1:9" x14ac:dyDescent="0.3">
      <c r="A846" s="278" t="s">
        <v>2119</v>
      </c>
      <c r="B846" s="279"/>
      <c r="I846" t="s">
        <v>3072</v>
      </c>
    </row>
    <row r="847" spans="1:9" x14ac:dyDescent="0.3">
      <c r="A847" s="279" t="s">
        <v>3073</v>
      </c>
      <c r="B847" s="279"/>
      <c r="I847" t="s">
        <v>3074</v>
      </c>
    </row>
    <row r="848" spans="1:9" x14ac:dyDescent="0.3">
      <c r="A848" s="279" t="s">
        <v>3075</v>
      </c>
      <c r="B848" s="279"/>
      <c r="I848" t="s">
        <v>3076</v>
      </c>
    </row>
    <row r="849" spans="1:9" x14ac:dyDescent="0.3">
      <c r="A849" s="279" t="s">
        <v>3077</v>
      </c>
      <c r="B849" s="279"/>
      <c r="I849" t="s">
        <v>3078</v>
      </c>
    </row>
    <row r="850" spans="1:9" x14ac:dyDescent="0.3">
      <c r="A850" s="279" t="s">
        <v>3079</v>
      </c>
      <c r="B850" s="279"/>
      <c r="I850" t="s">
        <v>3080</v>
      </c>
    </row>
    <row r="851" spans="1:9" x14ac:dyDescent="0.3">
      <c r="A851" s="279" t="s">
        <v>3081</v>
      </c>
      <c r="B851" s="279"/>
      <c r="I851" t="s">
        <v>3082</v>
      </c>
    </row>
    <row r="852" spans="1:9" x14ac:dyDescent="0.3">
      <c r="A852" s="279" t="s">
        <v>3083</v>
      </c>
      <c r="B852" s="279"/>
      <c r="I852" t="s">
        <v>3084</v>
      </c>
    </row>
    <row r="853" spans="1:9" x14ac:dyDescent="0.3">
      <c r="A853" s="278" t="s">
        <v>2121</v>
      </c>
      <c r="B853" s="279"/>
      <c r="I853" t="s">
        <v>3085</v>
      </c>
    </row>
    <row r="854" spans="1:9" x14ac:dyDescent="0.3">
      <c r="A854" s="279" t="s">
        <v>3086</v>
      </c>
      <c r="B854" s="279"/>
      <c r="I854" t="s">
        <v>3087</v>
      </c>
    </row>
    <row r="855" spans="1:9" x14ac:dyDescent="0.3">
      <c r="A855" s="278" t="s">
        <v>2124</v>
      </c>
      <c r="B855" s="279"/>
      <c r="I855" t="s">
        <v>3088</v>
      </c>
    </row>
    <row r="856" spans="1:9" x14ac:dyDescent="0.3">
      <c r="A856" s="279" t="s">
        <v>3089</v>
      </c>
      <c r="B856" s="279"/>
      <c r="I856" t="s">
        <v>3090</v>
      </c>
    </row>
    <row r="857" spans="1:9" x14ac:dyDescent="0.3">
      <c r="A857" s="279" t="s">
        <v>3091</v>
      </c>
      <c r="B857" s="279"/>
      <c r="I857" t="s">
        <v>3092</v>
      </c>
    </row>
    <row r="858" spans="1:9" x14ac:dyDescent="0.3">
      <c r="A858" s="275" t="s">
        <v>2127</v>
      </c>
      <c r="B858" s="279"/>
      <c r="I858" t="s">
        <v>3093</v>
      </c>
    </row>
    <row r="859" spans="1:9" x14ac:dyDescent="0.3">
      <c r="A859" s="278" t="s">
        <v>2130</v>
      </c>
      <c r="B859" s="279"/>
      <c r="I859" t="s">
        <v>3094</v>
      </c>
    </row>
    <row r="860" spans="1:9" x14ac:dyDescent="0.3">
      <c r="A860" s="279" t="s">
        <v>3095</v>
      </c>
      <c r="B860" s="279"/>
      <c r="I860" t="s">
        <v>3096</v>
      </c>
    </row>
    <row r="861" spans="1:9" x14ac:dyDescent="0.3">
      <c r="A861" s="278" t="s">
        <v>2132</v>
      </c>
      <c r="B861" s="279"/>
      <c r="I861" t="s">
        <v>3097</v>
      </c>
    </row>
    <row r="862" spans="1:9" x14ac:dyDescent="0.3">
      <c r="A862" s="279" t="s">
        <v>3098</v>
      </c>
      <c r="B862" s="279"/>
      <c r="I862" t="s">
        <v>3099</v>
      </c>
    </row>
    <row r="863" spans="1:9" x14ac:dyDescent="0.3">
      <c r="A863" s="275" t="s">
        <v>2135</v>
      </c>
      <c r="B863" s="279"/>
      <c r="I863" t="s">
        <v>3100</v>
      </c>
    </row>
    <row r="864" spans="1:9" x14ac:dyDescent="0.3">
      <c r="A864" s="278" t="s">
        <v>2138</v>
      </c>
      <c r="B864" s="279"/>
      <c r="I864" t="s">
        <v>3101</v>
      </c>
    </row>
    <row r="865" spans="1:9" x14ac:dyDescent="0.3">
      <c r="A865" s="279" t="s">
        <v>3102</v>
      </c>
      <c r="B865" s="279"/>
      <c r="I865" t="s">
        <v>3103</v>
      </c>
    </row>
    <row r="866" spans="1:9" x14ac:dyDescent="0.3">
      <c r="A866" s="279" t="s">
        <v>3104</v>
      </c>
      <c r="B866" s="279"/>
      <c r="I866" t="s">
        <v>3105</v>
      </c>
    </row>
    <row r="867" spans="1:9" x14ac:dyDescent="0.3">
      <c r="A867" s="278" t="s">
        <v>2141</v>
      </c>
      <c r="B867" s="279"/>
      <c r="I867" t="s">
        <v>3106</v>
      </c>
    </row>
    <row r="868" spans="1:9" x14ac:dyDescent="0.3">
      <c r="A868" s="279" t="s">
        <v>3107</v>
      </c>
      <c r="B868" s="279"/>
      <c r="I868" t="s">
        <v>3108</v>
      </c>
    </row>
    <row r="869" spans="1:9" x14ac:dyDescent="0.3">
      <c r="A869" s="275" t="s">
        <v>2144</v>
      </c>
      <c r="B869" s="279"/>
      <c r="I869" t="s">
        <v>3109</v>
      </c>
    </row>
    <row r="870" spans="1:9" x14ac:dyDescent="0.3">
      <c r="A870" s="278" t="s">
        <v>2147</v>
      </c>
      <c r="B870" s="279"/>
      <c r="I870" t="s">
        <v>3110</v>
      </c>
    </row>
    <row r="871" spans="1:9" x14ac:dyDescent="0.3">
      <c r="A871" s="279" t="s">
        <v>3111</v>
      </c>
      <c r="B871" s="279"/>
      <c r="I871" t="s">
        <v>3112</v>
      </c>
    </row>
    <row r="872" spans="1:9" x14ac:dyDescent="0.3">
      <c r="A872" s="279" t="s">
        <v>3113</v>
      </c>
      <c r="B872" s="279"/>
      <c r="I872" t="s">
        <v>3114</v>
      </c>
    </row>
    <row r="873" spans="1:9" x14ac:dyDescent="0.3">
      <c r="A873" s="275" t="s">
        <v>2149</v>
      </c>
      <c r="B873" s="279"/>
      <c r="I873" t="s">
        <v>3115</v>
      </c>
    </row>
    <row r="874" spans="1:9" x14ac:dyDescent="0.3">
      <c r="A874" s="278" t="s">
        <v>2151</v>
      </c>
      <c r="B874" s="279"/>
      <c r="I874" t="s">
        <v>3116</v>
      </c>
    </row>
    <row r="875" spans="1:9" x14ac:dyDescent="0.3">
      <c r="A875" s="279" t="s">
        <v>3117</v>
      </c>
      <c r="B875" s="279"/>
      <c r="I875" t="s">
        <v>3118</v>
      </c>
    </row>
    <row r="876" spans="1:9" x14ac:dyDescent="0.3">
      <c r="A876" s="278" t="s">
        <v>2154</v>
      </c>
      <c r="B876" s="279"/>
      <c r="I876" t="s">
        <v>3119</v>
      </c>
    </row>
    <row r="877" spans="1:9" x14ac:dyDescent="0.3">
      <c r="A877" s="279" t="s">
        <v>3120</v>
      </c>
      <c r="B877" s="279"/>
      <c r="I877" t="s">
        <v>3121</v>
      </c>
    </row>
    <row r="878" spans="1:9" x14ac:dyDescent="0.3">
      <c r="A878" s="279" t="s">
        <v>3122</v>
      </c>
      <c r="B878" s="279"/>
      <c r="I878" t="s">
        <v>3123</v>
      </c>
    </row>
    <row r="879" spans="1:9" x14ac:dyDescent="0.3">
      <c r="A879" s="279" t="s">
        <v>3124</v>
      </c>
      <c r="B879" s="279"/>
      <c r="I879" t="s">
        <v>3125</v>
      </c>
    </row>
    <row r="880" spans="1:9" x14ac:dyDescent="0.3">
      <c r="A880" s="278" t="s">
        <v>2157</v>
      </c>
      <c r="B880" s="279"/>
      <c r="I880" t="s">
        <v>3126</v>
      </c>
    </row>
    <row r="881" spans="1:9" x14ac:dyDescent="0.3">
      <c r="A881" s="279" t="s">
        <v>3127</v>
      </c>
      <c r="B881" s="279"/>
      <c r="I881" t="s">
        <v>3128</v>
      </c>
    </row>
    <row r="882" spans="1:9" x14ac:dyDescent="0.3">
      <c r="A882" s="275" t="s">
        <v>2159</v>
      </c>
      <c r="B882" s="279"/>
      <c r="I882" t="s">
        <v>3129</v>
      </c>
    </row>
    <row r="883" spans="1:9" x14ac:dyDescent="0.3">
      <c r="A883" s="278" t="s">
        <v>2162</v>
      </c>
      <c r="B883" s="279"/>
      <c r="I883" t="s">
        <v>3130</v>
      </c>
    </row>
    <row r="884" spans="1:9" x14ac:dyDescent="0.3">
      <c r="A884" s="279" t="s">
        <v>3131</v>
      </c>
      <c r="B884" s="279"/>
      <c r="I884" t="s">
        <v>3132</v>
      </c>
    </row>
    <row r="885" spans="1:9" x14ac:dyDescent="0.3">
      <c r="A885" s="278" t="s">
        <v>2164</v>
      </c>
      <c r="B885" s="279"/>
      <c r="I885" t="s">
        <v>3133</v>
      </c>
    </row>
    <row r="886" spans="1:9" x14ac:dyDescent="0.3">
      <c r="A886" s="279" t="s">
        <v>3134</v>
      </c>
      <c r="B886" s="279"/>
      <c r="I886" t="s">
        <v>3135</v>
      </c>
    </row>
    <row r="887" spans="1:9" x14ac:dyDescent="0.3">
      <c r="A887" s="278" t="s">
        <v>2167</v>
      </c>
      <c r="B887" s="279"/>
      <c r="I887" t="s">
        <v>3136</v>
      </c>
    </row>
    <row r="888" spans="1:9" x14ac:dyDescent="0.3">
      <c r="A888" s="279" t="s">
        <v>3137</v>
      </c>
      <c r="B888" s="279"/>
      <c r="I888" t="s">
        <v>3138</v>
      </c>
    </row>
    <row r="889" spans="1:9" x14ac:dyDescent="0.3">
      <c r="A889" s="278" t="s">
        <v>2169</v>
      </c>
      <c r="B889" s="279"/>
      <c r="I889" t="s">
        <v>3139</v>
      </c>
    </row>
    <row r="890" spans="1:9" x14ac:dyDescent="0.3">
      <c r="A890" s="279" t="s">
        <v>3140</v>
      </c>
      <c r="B890" s="279"/>
      <c r="I890" t="s">
        <v>3141</v>
      </c>
    </row>
    <row r="891" spans="1:9" x14ac:dyDescent="0.3">
      <c r="A891" s="278" t="s">
        <v>2172</v>
      </c>
      <c r="B891" s="279"/>
      <c r="I891" t="s">
        <v>3142</v>
      </c>
    </row>
    <row r="892" spans="1:9" x14ac:dyDescent="0.3">
      <c r="A892" s="279" t="s">
        <v>3143</v>
      </c>
      <c r="B892" s="279"/>
      <c r="I892" t="s">
        <v>3144</v>
      </c>
    </row>
    <row r="893" spans="1:9" x14ac:dyDescent="0.3">
      <c r="A893" s="279" t="s">
        <v>3145</v>
      </c>
      <c r="B893" s="279"/>
      <c r="I893" t="s">
        <v>3146</v>
      </c>
    </row>
    <row r="894" spans="1:9" x14ac:dyDescent="0.3">
      <c r="A894" s="279" t="s">
        <v>3147</v>
      </c>
      <c r="B894" s="279"/>
      <c r="I894" t="s">
        <v>3148</v>
      </c>
    </row>
    <row r="895" spans="1:9" x14ac:dyDescent="0.3">
      <c r="A895" s="276" t="s">
        <v>2187</v>
      </c>
      <c r="B895" s="279"/>
      <c r="I895" t="s">
        <v>3149</v>
      </c>
    </row>
    <row r="896" spans="1:9" x14ac:dyDescent="0.3">
      <c r="A896" s="275" t="s">
        <v>2177</v>
      </c>
      <c r="B896" s="279"/>
      <c r="I896" t="s">
        <v>3150</v>
      </c>
    </row>
    <row r="897" spans="1:9" x14ac:dyDescent="0.3">
      <c r="A897" s="278" t="s">
        <v>2180</v>
      </c>
      <c r="B897" s="279"/>
      <c r="I897" t="s">
        <v>3151</v>
      </c>
    </row>
    <row r="898" spans="1:9" x14ac:dyDescent="0.3">
      <c r="A898" s="279" t="s">
        <v>3152</v>
      </c>
      <c r="B898" s="279"/>
      <c r="I898" t="s">
        <v>3153</v>
      </c>
    </row>
    <row r="899" spans="1:9" x14ac:dyDescent="0.3">
      <c r="A899" s="279" t="s">
        <v>3154</v>
      </c>
      <c r="B899" s="279"/>
      <c r="I899" t="s">
        <v>3155</v>
      </c>
    </row>
    <row r="900" spans="1:9" x14ac:dyDescent="0.3">
      <c r="A900" s="279" t="s">
        <v>3156</v>
      </c>
      <c r="B900" s="279"/>
      <c r="I900" t="s">
        <v>3157</v>
      </c>
    </row>
    <row r="901" spans="1:9" x14ac:dyDescent="0.3">
      <c r="A901" s="278" t="s">
        <v>2182</v>
      </c>
      <c r="B901" s="279"/>
      <c r="I901" t="s">
        <v>3158</v>
      </c>
    </row>
    <row r="902" spans="1:9" x14ac:dyDescent="0.3">
      <c r="A902" s="279" t="s">
        <v>3159</v>
      </c>
      <c r="B902" s="279"/>
      <c r="I902" t="s">
        <v>3160</v>
      </c>
    </row>
    <row r="903" spans="1:9" x14ac:dyDescent="0.3">
      <c r="A903" s="279" t="s">
        <v>3161</v>
      </c>
      <c r="B903" s="279"/>
      <c r="I903" t="s">
        <v>3162</v>
      </c>
    </row>
    <row r="904" spans="1:9" x14ac:dyDescent="0.3">
      <c r="A904" s="279" t="s">
        <v>3163</v>
      </c>
      <c r="B904" s="279"/>
      <c r="I904" t="s">
        <v>3164</v>
      </c>
    </row>
    <row r="905" spans="1:9" x14ac:dyDescent="0.3">
      <c r="A905" s="279" t="s">
        <v>3165</v>
      </c>
      <c r="B905" s="279"/>
      <c r="I905" t="s">
        <v>3166</v>
      </c>
    </row>
    <row r="906" spans="1:9" x14ac:dyDescent="0.3">
      <c r="A906" s="279" t="s">
        <v>3167</v>
      </c>
      <c r="B906" s="279"/>
      <c r="I906" t="s">
        <v>3168</v>
      </c>
    </row>
    <row r="907" spans="1:9" x14ac:dyDescent="0.3">
      <c r="A907" s="278" t="s">
        <v>2185</v>
      </c>
      <c r="B907" s="279"/>
      <c r="I907" t="s">
        <v>3169</v>
      </c>
    </row>
    <row r="908" spans="1:9" x14ac:dyDescent="0.3">
      <c r="A908" s="279" t="s">
        <v>3170</v>
      </c>
      <c r="B908" s="279"/>
      <c r="I908" t="s">
        <v>3171</v>
      </c>
    </row>
    <row r="909" spans="1:9" x14ac:dyDescent="0.3">
      <c r="A909" s="276" t="s">
        <v>2207</v>
      </c>
      <c r="B909" s="279"/>
      <c r="I909" t="s">
        <v>3172</v>
      </c>
    </row>
    <row r="910" spans="1:9" x14ac:dyDescent="0.3">
      <c r="A910" s="275" t="s">
        <v>2190</v>
      </c>
      <c r="B910" s="279"/>
      <c r="I910" t="s">
        <v>3173</v>
      </c>
    </row>
    <row r="911" spans="1:9" x14ac:dyDescent="0.3">
      <c r="A911" s="278" t="s">
        <v>2192</v>
      </c>
      <c r="B911" s="279"/>
      <c r="I911" t="s">
        <v>3174</v>
      </c>
    </row>
    <row r="912" spans="1:9" x14ac:dyDescent="0.3">
      <c r="A912" s="279" t="s">
        <v>3175</v>
      </c>
      <c r="B912" s="279"/>
      <c r="I912" t="s">
        <v>3176</v>
      </c>
    </row>
    <row r="913" spans="1:9" x14ac:dyDescent="0.3">
      <c r="A913" s="278" t="s">
        <v>2194</v>
      </c>
      <c r="B913" s="279"/>
      <c r="I913" t="s">
        <v>3177</v>
      </c>
    </row>
    <row r="914" spans="1:9" x14ac:dyDescent="0.3">
      <c r="A914" s="279" t="s">
        <v>3178</v>
      </c>
      <c r="B914" s="279"/>
      <c r="I914" t="s">
        <v>3179</v>
      </c>
    </row>
    <row r="915" spans="1:9" x14ac:dyDescent="0.3">
      <c r="A915" s="278" t="s">
        <v>2197</v>
      </c>
      <c r="B915" s="279"/>
      <c r="I915" t="s">
        <v>3180</v>
      </c>
    </row>
    <row r="916" spans="1:9" x14ac:dyDescent="0.3">
      <c r="A916" s="279" t="s">
        <v>3181</v>
      </c>
      <c r="B916" s="279"/>
      <c r="I916" t="s">
        <v>3182</v>
      </c>
    </row>
    <row r="917" spans="1:9" x14ac:dyDescent="0.3">
      <c r="A917" s="279" t="s">
        <v>3183</v>
      </c>
      <c r="B917" s="279"/>
      <c r="I917" t="s">
        <v>3184</v>
      </c>
    </row>
    <row r="918" spans="1:9" x14ac:dyDescent="0.3">
      <c r="A918" s="279" t="s">
        <v>3185</v>
      </c>
      <c r="B918" s="279"/>
      <c r="I918" t="s">
        <v>3186</v>
      </c>
    </row>
    <row r="919" spans="1:9" x14ac:dyDescent="0.3">
      <c r="A919" s="278" t="s">
        <v>2200</v>
      </c>
      <c r="B919" s="279"/>
      <c r="I919" t="s">
        <v>3187</v>
      </c>
    </row>
    <row r="920" spans="1:9" x14ac:dyDescent="0.3">
      <c r="A920" s="279" t="s">
        <v>3188</v>
      </c>
      <c r="B920" s="279"/>
      <c r="I920" t="s">
        <v>3189</v>
      </c>
    </row>
    <row r="921" spans="1:9" x14ac:dyDescent="0.3">
      <c r="A921" s="278" t="s">
        <v>2202</v>
      </c>
      <c r="B921" s="279"/>
      <c r="I921" t="s">
        <v>3190</v>
      </c>
    </row>
    <row r="922" spans="1:9" x14ac:dyDescent="0.3">
      <c r="A922" s="279" t="s">
        <v>3191</v>
      </c>
      <c r="B922" s="279"/>
      <c r="I922" t="s">
        <v>3192</v>
      </c>
    </row>
    <row r="923" spans="1:9" x14ac:dyDescent="0.3">
      <c r="A923" s="279" t="s">
        <v>3193</v>
      </c>
      <c r="B923" s="279"/>
      <c r="I923" t="s">
        <v>3194</v>
      </c>
    </row>
    <row r="924" spans="1:9" x14ac:dyDescent="0.3">
      <c r="A924" s="279" t="s">
        <v>3195</v>
      </c>
      <c r="B924" s="279"/>
      <c r="I924" t="s">
        <v>3196</v>
      </c>
    </row>
    <row r="925" spans="1:9" x14ac:dyDescent="0.3">
      <c r="A925" s="279" t="s">
        <v>3197</v>
      </c>
      <c r="B925" s="279"/>
      <c r="I925" t="s">
        <v>3198</v>
      </c>
    </row>
    <row r="926" spans="1:9" x14ac:dyDescent="0.3">
      <c r="A926" s="278" t="s">
        <v>2205</v>
      </c>
      <c r="B926" s="279"/>
      <c r="I926" t="s">
        <v>3199</v>
      </c>
    </row>
    <row r="927" spans="1:9" x14ac:dyDescent="0.3">
      <c r="A927" s="279" t="s">
        <v>3200</v>
      </c>
      <c r="B927" s="279"/>
      <c r="I927" t="s">
        <v>3201</v>
      </c>
    </row>
    <row r="928" spans="1:9" x14ac:dyDescent="0.3">
      <c r="A928" s="279" t="s">
        <v>3202</v>
      </c>
      <c r="B928" s="279"/>
      <c r="I928" t="s">
        <v>3203</v>
      </c>
    </row>
    <row r="929" spans="1:9" x14ac:dyDescent="0.3">
      <c r="A929" s="276" t="s">
        <v>2241</v>
      </c>
      <c r="B929" s="279"/>
      <c r="I929" t="s">
        <v>3204</v>
      </c>
    </row>
    <row r="930" spans="1:9" x14ac:dyDescent="0.3">
      <c r="A930" s="275" t="s">
        <v>2210</v>
      </c>
      <c r="B930" s="279"/>
      <c r="I930" t="s">
        <v>3205</v>
      </c>
    </row>
    <row r="931" spans="1:9" x14ac:dyDescent="0.3">
      <c r="A931" s="278" t="s">
        <v>2213</v>
      </c>
      <c r="B931" s="279"/>
      <c r="I931" t="s">
        <v>3206</v>
      </c>
    </row>
    <row r="932" spans="1:9" x14ac:dyDescent="0.3">
      <c r="A932" s="279" t="s">
        <v>3207</v>
      </c>
      <c r="B932" s="279"/>
      <c r="I932" t="s">
        <v>3208</v>
      </c>
    </row>
    <row r="933" spans="1:9" x14ac:dyDescent="0.3">
      <c r="A933" s="278" t="s">
        <v>2216</v>
      </c>
      <c r="B933" s="279"/>
      <c r="I933" t="s">
        <v>3209</v>
      </c>
    </row>
    <row r="934" spans="1:9" x14ac:dyDescent="0.3">
      <c r="A934" s="279" t="s">
        <v>3210</v>
      </c>
      <c r="B934" s="279"/>
      <c r="I934" t="s">
        <v>3211</v>
      </c>
    </row>
    <row r="935" spans="1:9" x14ac:dyDescent="0.3">
      <c r="A935" s="279" t="s">
        <v>3212</v>
      </c>
      <c r="B935" s="279"/>
      <c r="I935" t="s">
        <v>3213</v>
      </c>
    </row>
    <row r="936" spans="1:9" x14ac:dyDescent="0.3">
      <c r="A936" s="279" t="s">
        <v>3214</v>
      </c>
      <c r="B936" s="279"/>
      <c r="I936" t="s">
        <v>3215</v>
      </c>
    </row>
    <row r="937" spans="1:9" x14ac:dyDescent="0.3">
      <c r="A937" s="278" t="s">
        <v>2218</v>
      </c>
      <c r="B937" s="279"/>
      <c r="I937" t="s">
        <v>3216</v>
      </c>
    </row>
    <row r="938" spans="1:9" x14ac:dyDescent="0.3">
      <c r="A938" s="279" t="s">
        <v>3217</v>
      </c>
      <c r="B938" s="279"/>
      <c r="I938" t="s">
        <v>3218</v>
      </c>
    </row>
    <row r="939" spans="1:9" x14ac:dyDescent="0.3">
      <c r="A939" s="279" t="s">
        <v>3219</v>
      </c>
      <c r="B939" s="279"/>
      <c r="I939" t="s">
        <v>3220</v>
      </c>
    </row>
    <row r="940" spans="1:9" x14ac:dyDescent="0.3">
      <c r="A940" s="279" t="s">
        <v>3221</v>
      </c>
      <c r="B940" s="279"/>
      <c r="I940" t="s">
        <v>3222</v>
      </c>
    </row>
    <row r="941" spans="1:9" x14ac:dyDescent="0.3">
      <c r="A941" s="279" t="s">
        <v>3223</v>
      </c>
      <c r="B941" s="279"/>
      <c r="I941" t="s">
        <v>3224</v>
      </c>
    </row>
    <row r="942" spans="1:9" x14ac:dyDescent="0.3">
      <c r="A942" s="279" t="s">
        <v>3225</v>
      </c>
      <c r="B942" s="279"/>
      <c r="I942" t="s">
        <v>3226</v>
      </c>
    </row>
    <row r="943" spans="1:9" x14ac:dyDescent="0.3">
      <c r="A943" s="279" t="s">
        <v>3227</v>
      </c>
      <c r="B943" s="279"/>
      <c r="I943" t="s">
        <v>3228</v>
      </c>
    </row>
    <row r="944" spans="1:9" x14ac:dyDescent="0.3">
      <c r="A944" s="279" t="s">
        <v>3229</v>
      </c>
      <c r="B944" s="279"/>
      <c r="I944" t="s">
        <v>3230</v>
      </c>
    </row>
    <row r="945" spans="1:9" x14ac:dyDescent="0.3">
      <c r="A945" s="279" t="s">
        <v>3231</v>
      </c>
      <c r="B945" s="279"/>
      <c r="I945" t="s">
        <v>3232</v>
      </c>
    </row>
    <row r="946" spans="1:9" x14ac:dyDescent="0.3">
      <c r="A946" s="275" t="s">
        <v>2221</v>
      </c>
      <c r="B946" s="279"/>
      <c r="I946" t="s">
        <v>3233</v>
      </c>
    </row>
    <row r="947" spans="1:9" x14ac:dyDescent="0.3">
      <c r="A947" s="278" t="s">
        <v>2223</v>
      </c>
      <c r="B947" s="279"/>
      <c r="I947" t="s">
        <v>3234</v>
      </c>
    </row>
    <row r="948" spans="1:9" x14ac:dyDescent="0.3">
      <c r="A948" s="279" t="s">
        <v>3235</v>
      </c>
      <c r="B948" s="279"/>
      <c r="I948" t="s">
        <v>3236</v>
      </c>
    </row>
    <row r="949" spans="1:9" x14ac:dyDescent="0.3">
      <c r="A949" s="278" t="s">
        <v>2226</v>
      </c>
      <c r="B949" s="279"/>
      <c r="I949" t="s">
        <v>3237</v>
      </c>
    </row>
    <row r="950" spans="1:9" x14ac:dyDescent="0.3">
      <c r="A950" s="279" t="s">
        <v>3238</v>
      </c>
      <c r="B950" s="279"/>
      <c r="I950" t="s">
        <v>3239</v>
      </c>
    </row>
    <row r="951" spans="1:9" x14ac:dyDescent="0.3">
      <c r="A951" s="278" t="s">
        <v>2229</v>
      </c>
      <c r="B951" s="279"/>
      <c r="I951" t="s">
        <v>3240</v>
      </c>
    </row>
    <row r="952" spans="1:9" x14ac:dyDescent="0.3">
      <c r="A952" s="279" t="s">
        <v>3241</v>
      </c>
      <c r="B952" s="279"/>
      <c r="I952" t="s">
        <v>3242</v>
      </c>
    </row>
    <row r="953" spans="1:9" x14ac:dyDescent="0.3">
      <c r="A953" s="278" t="s">
        <v>2231</v>
      </c>
      <c r="B953" s="279"/>
      <c r="I953" t="s">
        <v>3243</v>
      </c>
    </row>
    <row r="954" spans="1:9" x14ac:dyDescent="0.3">
      <c r="A954" s="279" t="s">
        <v>3244</v>
      </c>
      <c r="B954" s="279"/>
      <c r="I954" t="s">
        <v>3245</v>
      </c>
    </row>
    <row r="955" spans="1:9" x14ac:dyDescent="0.3">
      <c r="A955" s="279" t="s">
        <v>3246</v>
      </c>
      <c r="B955" s="279"/>
      <c r="I955" t="s">
        <v>3247</v>
      </c>
    </row>
    <row r="956" spans="1:9" x14ac:dyDescent="0.3">
      <c r="A956" s="275" t="s">
        <v>2234</v>
      </c>
      <c r="B956" s="279"/>
      <c r="I956" t="s">
        <v>3248</v>
      </c>
    </row>
    <row r="957" spans="1:9" x14ac:dyDescent="0.3">
      <c r="A957" s="278" t="s">
        <v>2236</v>
      </c>
      <c r="B957" s="279"/>
      <c r="I957" t="s">
        <v>3249</v>
      </c>
    </row>
    <row r="958" spans="1:9" x14ac:dyDescent="0.3">
      <c r="A958" s="279" t="s">
        <v>3250</v>
      </c>
      <c r="B958" s="279"/>
      <c r="I958" t="s">
        <v>3251</v>
      </c>
    </row>
    <row r="959" spans="1:9" x14ac:dyDescent="0.3">
      <c r="A959" s="278" t="s">
        <v>2238</v>
      </c>
      <c r="B959" s="279"/>
      <c r="I959" t="s">
        <v>3252</v>
      </c>
    </row>
    <row r="960" spans="1:9" x14ac:dyDescent="0.3">
      <c r="A960" s="279" t="s">
        <v>3253</v>
      </c>
      <c r="B960" s="279"/>
      <c r="I960" t="s">
        <v>3254</v>
      </c>
    </row>
    <row r="961" spans="1:9" x14ac:dyDescent="0.3">
      <c r="A961" s="279" t="s">
        <v>3255</v>
      </c>
      <c r="B961" s="279"/>
      <c r="I961" t="s">
        <v>3256</v>
      </c>
    </row>
    <row r="962" spans="1:9" x14ac:dyDescent="0.3">
      <c r="A962" s="276" t="s">
        <v>2283</v>
      </c>
      <c r="B962" s="279"/>
      <c r="I962" t="s">
        <v>3257</v>
      </c>
    </row>
    <row r="963" spans="1:9" x14ac:dyDescent="0.3">
      <c r="A963" s="275" t="s">
        <v>2244</v>
      </c>
      <c r="B963" s="279"/>
      <c r="I963" t="s">
        <v>3258</v>
      </c>
    </row>
    <row r="964" spans="1:9" x14ac:dyDescent="0.3">
      <c r="A964" s="278" t="s">
        <v>2247</v>
      </c>
      <c r="B964" s="279"/>
      <c r="I964" t="s">
        <v>3259</v>
      </c>
    </row>
    <row r="965" spans="1:9" x14ac:dyDescent="0.3">
      <c r="A965" s="279" t="s">
        <v>3260</v>
      </c>
      <c r="B965" s="279"/>
      <c r="I965" t="s">
        <v>3261</v>
      </c>
    </row>
    <row r="966" spans="1:9" x14ac:dyDescent="0.3">
      <c r="A966" s="279" t="s">
        <v>3262</v>
      </c>
      <c r="B966" s="279"/>
      <c r="I966" t="s">
        <v>3263</v>
      </c>
    </row>
    <row r="967" spans="1:9" x14ac:dyDescent="0.3">
      <c r="A967" s="279" t="s">
        <v>3264</v>
      </c>
      <c r="B967" s="279"/>
      <c r="I967" t="s">
        <v>3265</v>
      </c>
    </row>
    <row r="968" spans="1:9" x14ac:dyDescent="0.3">
      <c r="A968" s="278" t="s">
        <v>2250</v>
      </c>
      <c r="B968" s="279"/>
      <c r="I968" t="s">
        <v>3266</v>
      </c>
    </row>
    <row r="969" spans="1:9" x14ac:dyDescent="0.3">
      <c r="A969" s="279" t="s">
        <v>3267</v>
      </c>
      <c r="B969" s="279"/>
      <c r="I969" t="s">
        <v>3268</v>
      </c>
    </row>
    <row r="970" spans="1:9" x14ac:dyDescent="0.3">
      <c r="A970" s="278" t="s">
        <v>2253</v>
      </c>
      <c r="B970" s="279"/>
      <c r="I970" t="s">
        <v>3269</v>
      </c>
    </row>
    <row r="971" spans="1:9" x14ac:dyDescent="0.3">
      <c r="A971" s="279" t="s">
        <v>3270</v>
      </c>
      <c r="B971" s="279"/>
      <c r="I971" t="s">
        <v>3271</v>
      </c>
    </row>
    <row r="972" spans="1:9" x14ac:dyDescent="0.3">
      <c r="A972" s="279" t="s">
        <v>3272</v>
      </c>
      <c r="B972" s="279"/>
      <c r="I972" t="s">
        <v>3273</v>
      </c>
    </row>
    <row r="973" spans="1:9" x14ac:dyDescent="0.3">
      <c r="A973" s="275" t="s">
        <v>2255</v>
      </c>
      <c r="B973" s="279"/>
      <c r="I973" t="s">
        <v>3274</v>
      </c>
    </row>
    <row r="974" spans="1:9" x14ac:dyDescent="0.3">
      <c r="A974" s="278" t="s">
        <v>2258</v>
      </c>
      <c r="B974" s="279"/>
      <c r="I974" t="s">
        <v>3275</v>
      </c>
    </row>
    <row r="975" spans="1:9" x14ac:dyDescent="0.3">
      <c r="A975" s="279" t="s">
        <v>3276</v>
      </c>
      <c r="B975" s="279"/>
    </row>
    <row r="976" spans="1:9" x14ac:dyDescent="0.3">
      <c r="A976" s="279" t="s">
        <v>3277</v>
      </c>
      <c r="B976" s="279"/>
    </row>
    <row r="977" spans="1:2" x14ac:dyDescent="0.3">
      <c r="A977" s="278" t="s">
        <v>2261</v>
      </c>
      <c r="B977" s="279"/>
    </row>
    <row r="978" spans="1:2" x14ac:dyDescent="0.3">
      <c r="A978" s="279" t="s">
        <v>3278</v>
      </c>
      <c r="B978" s="279"/>
    </row>
    <row r="979" spans="1:2" x14ac:dyDescent="0.3">
      <c r="A979" s="279" t="s">
        <v>3279</v>
      </c>
      <c r="B979" s="279"/>
    </row>
    <row r="980" spans="1:2" x14ac:dyDescent="0.3">
      <c r="A980" s="278" t="s">
        <v>2264</v>
      </c>
      <c r="B980" s="279"/>
    </row>
    <row r="981" spans="1:2" x14ac:dyDescent="0.3">
      <c r="A981" s="279" t="s">
        <v>3280</v>
      </c>
      <c r="B981" s="279"/>
    </row>
    <row r="982" spans="1:2" x14ac:dyDescent="0.3">
      <c r="A982" s="278" t="s">
        <v>2267</v>
      </c>
      <c r="B982" s="279"/>
    </row>
    <row r="983" spans="1:2" x14ac:dyDescent="0.3">
      <c r="A983" s="279" t="s">
        <v>3281</v>
      </c>
      <c r="B983" s="279"/>
    </row>
    <row r="984" spans="1:2" x14ac:dyDescent="0.3">
      <c r="A984" s="279" t="s">
        <v>3282</v>
      </c>
      <c r="B984" s="279"/>
    </row>
    <row r="985" spans="1:2" x14ac:dyDescent="0.3">
      <c r="A985" s="275" t="s">
        <v>2270</v>
      </c>
      <c r="B985" s="279"/>
    </row>
    <row r="986" spans="1:2" x14ac:dyDescent="0.3">
      <c r="A986" s="278" t="s">
        <v>2273</v>
      </c>
      <c r="B986" s="279"/>
    </row>
    <row r="987" spans="1:2" x14ac:dyDescent="0.3">
      <c r="A987" s="279" t="s">
        <v>3283</v>
      </c>
      <c r="B987" s="279"/>
    </row>
    <row r="988" spans="1:2" x14ac:dyDescent="0.3">
      <c r="A988" s="275" t="s">
        <v>2275</v>
      </c>
      <c r="B988" s="279"/>
    </row>
    <row r="989" spans="1:2" x14ac:dyDescent="0.3">
      <c r="A989" s="278" t="s">
        <v>2278</v>
      </c>
      <c r="B989" s="279"/>
    </row>
    <row r="990" spans="1:2" x14ac:dyDescent="0.3">
      <c r="A990" s="279" t="s">
        <v>3284</v>
      </c>
      <c r="B990" s="279"/>
    </row>
    <row r="991" spans="1:2" x14ac:dyDescent="0.3">
      <c r="A991" s="279" t="s">
        <v>3285</v>
      </c>
      <c r="B991" s="279"/>
    </row>
    <row r="992" spans="1:2" x14ac:dyDescent="0.3">
      <c r="A992" s="279" t="s">
        <v>3286</v>
      </c>
      <c r="B992" s="279"/>
    </row>
    <row r="993" spans="1:2" x14ac:dyDescent="0.3">
      <c r="A993" s="279" t="s">
        <v>3287</v>
      </c>
      <c r="B993" s="279"/>
    </row>
    <row r="994" spans="1:2" x14ac:dyDescent="0.3">
      <c r="A994" s="278" t="s">
        <v>2280</v>
      </c>
      <c r="B994" s="279"/>
    </row>
    <row r="995" spans="1:2" x14ac:dyDescent="0.3">
      <c r="A995" s="279" t="s">
        <v>3288</v>
      </c>
      <c r="B995" s="279"/>
    </row>
    <row r="996" spans="1:2" x14ac:dyDescent="0.3">
      <c r="A996" s="279" t="s">
        <v>3289</v>
      </c>
      <c r="B996" s="279"/>
    </row>
    <row r="997" spans="1:2" x14ac:dyDescent="0.3">
      <c r="A997" s="276" t="s">
        <v>2326</v>
      </c>
      <c r="B997" s="279"/>
    </row>
    <row r="998" spans="1:2" x14ac:dyDescent="0.3">
      <c r="A998" s="275" t="s">
        <v>2286</v>
      </c>
      <c r="B998" s="279"/>
    </row>
    <row r="999" spans="1:2" x14ac:dyDescent="0.3">
      <c r="A999" s="278" t="s">
        <v>2288</v>
      </c>
      <c r="B999" s="279"/>
    </row>
    <row r="1000" spans="1:2" x14ac:dyDescent="0.3">
      <c r="A1000" s="279" t="s">
        <v>3290</v>
      </c>
      <c r="B1000" s="279"/>
    </row>
    <row r="1001" spans="1:2" x14ac:dyDescent="0.3">
      <c r="A1001" s="279" t="s">
        <v>3291</v>
      </c>
      <c r="B1001" s="279"/>
    </row>
    <row r="1002" spans="1:2" x14ac:dyDescent="0.3">
      <c r="A1002" s="278" t="s">
        <v>2291</v>
      </c>
      <c r="B1002" s="279"/>
    </row>
    <row r="1003" spans="1:2" x14ac:dyDescent="0.3">
      <c r="A1003" s="279" t="s">
        <v>3292</v>
      </c>
      <c r="B1003" s="279"/>
    </row>
    <row r="1004" spans="1:2" x14ac:dyDescent="0.3">
      <c r="A1004" s="278" t="s">
        <v>2294</v>
      </c>
      <c r="B1004" s="279"/>
    </row>
    <row r="1005" spans="1:2" x14ac:dyDescent="0.3">
      <c r="A1005" s="279" t="s">
        <v>3293</v>
      </c>
      <c r="B1005" s="279"/>
    </row>
    <row r="1006" spans="1:2" x14ac:dyDescent="0.3">
      <c r="A1006" s="279" t="s">
        <v>3294</v>
      </c>
      <c r="B1006" s="279"/>
    </row>
    <row r="1007" spans="1:2" x14ac:dyDescent="0.3">
      <c r="A1007" s="279" t="s">
        <v>3295</v>
      </c>
      <c r="B1007" s="279"/>
    </row>
    <row r="1008" spans="1:2" x14ac:dyDescent="0.3">
      <c r="A1008" s="275" t="s">
        <v>2297</v>
      </c>
      <c r="B1008" s="279"/>
    </row>
    <row r="1009" spans="1:2" x14ac:dyDescent="0.3">
      <c r="A1009" s="278" t="s">
        <v>2300</v>
      </c>
      <c r="B1009" s="279"/>
    </row>
    <row r="1010" spans="1:2" x14ac:dyDescent="0.3">
      <c r="A1010" s="279" t="s">
        <v>3296</v>
      </c>
      <c r="B1010" s="279"/>
    </row>
    <row r="1011" spans="1:2" x14ac:dyDescent="0.3">
      <c r="A1011" s="278" t="s">
        <v>2303</v>
      </c>
      <c r="B1011" s="279"/>
    </row>
    <row r="1012" spans="1:2" x14ac:dyDescent="0.3">
      <c r="A1012" s="279" t="s">
        <v>3297</v>
      </c>
      <c r="B1012" s="279"/>
    </row>
    <row r="1013" spans="1:2" x14ac:dyDescent="0.3">
      <c r="A1013" s="279" t="s">
        <v>3298</v>
      </c>
      <c r="B1013" s="279"/>
    </row>
    <row r="1014" spans="1:2" x14ac:dyDescent="0.3">
      <c r="A1014" s="279" t="s">
        <v>3299</v>
      </c>
      <c r="B1014" s="279"/>
    </row>
    <row r="1015" spans="1:2" x14ac:dyDescent="0.3">
      <c r="A1015" s="279" t="s">
        <v>3300</v>
      </c>
      <c r="B1015" s="279"/>
    </row>
    <row r="1016" spans="1:2" x14ac:dyDescent="0.3">
      <c r="A1016" s="279" t="s">
        <v>3301</v>
      </c>
      <c r="B1016" s="279"/>
    </row>
    <row r="1017" spans="1:2" x14ac:dyDescent="0.3">
      <c r="A1017" s="279" t="s">
        <v>3302</v>
      </c>
      <c r="B1017" s="279"/>
    </row>
    <row r="1018" spans="1:2" x14ac:dyDescent="0.3">
      <c r="A1018" s="278" t="s">
        <v>2306</v>
      </c>
      <c r="B1018" s="279"/>
    </row>
    <row r="1019" spans="1:2" x14ac:dyDescent="0.3">
      <c r="A1019" s="279" t="s">
        <v>3303</v>
      </c>
      <c r="B1019" s="279"/>
    </row>
    <row r="1020" spans="1:2" x14ac:dyDescent="0.3">
      <c r="A1020" s="279" t="s">
        <v>3304</v>
      </c>
      <c r="B1020" s="279"/>
    </row>
    <row r="1021" spans="1:2" x14ac:dyDescent="0.3">
      <c r="A1021" s="278" t="s">
        <v>2309</v>
      </c>
      <c r="B1021" s="279"/>
    </row>
    <row r="1022" spans="1:2" x14ac:dyDescent="0.3">
      <c r="A1022" s="279" t="s">
        <v>3305</v>
      </c>
      <c r="B1022" s="279"/>
    </row>
    <row r="1023" spans="1:2" x14ac:dyDescent="0.3">
      <c r="A1023" s="275" t="s">
        <v>2312</v>
      </c>
      <c r="B1023" s="279"/>
    </row>
    <row r="1024" spans="1:2" x14ac:dyDescent="0.3">
      <c r="A1024" s="278" t="s">
        <v>2314</v>
      </c>
      <c r="B1024" s="279"/>
    </row>
    <row r="1025" spans="1:2" x14ac:dyDescent="0.3">
      <c r="A1025" s="279" t="s">
        <v>3306</v>
      </c>
      <c r="B1025" s="279"/>
    </row>
    <row r="1026" spans="1:2" x14ac:dyDescent="0.3">
      <c r="A1026" s="278" t="s">
        <v>2316</v>
      </c>
      <c r="B1026" s="279"/>
    </row>
    <row r="1027" spans="1:2" x14ac:dyDescent="0.3">
      <c r="A1027" s="279" t="s">
        <v>3307</v>
      </c>
      <c r="B1027" s="279"/>
    </row>
    <row r="1028" spans="1:2" x14ac:dyDescent="0.3">
      <c r="A1028" s="279" t="s">
        <v>3308</v>
      </c>
      <c r="B1028" s="279"/>
    </row>
    <row r="1029" spans="1:2" x14ac:dyDescent="0.3">
      <c r="A1029" s="279" t="s">
        <v>3309</v>
      </c>
      <c r="B1029" s="279"/>
    </row>
    <row r="1030" spans="1:2" x14ac:dyDescent="0.3">
      <c r="A1030" s="278" t="s">
        <v>2319</v>
      </c>
      <c r="B1030" s="279"/>
    </row>
    <row r="1031" spans="1:2" x14ac:dyDescent="0.3">
      <c r="A1031" s="279" t="s">
        <v>3310</v>
      </c>
      <c r="B1031" s="279"/>
    </row>
    <row r="1032" spans="1:2" x14ac:dyDescent="0.3">
      <c r="A1032" s="278" t="s">
        <v>2321</v>
      </c>
      <c r="B1032" s="279"/>
    </row>
    <row r="1033" spans="1:2" x14ac:dyDescent="0.3">
      <c r="A1033" s="279" t="s">
        <v>3311</v>
      </c>
      <c r="B1033" s="279"/>
    </row>
    <row r="1034" spans="1:2" x14ac:dyDescent="0.3">
      <c r="A1034" s="278" t="s">
        <v>2324</v>
      </c>
      <c r="B1034" s="279"/>
    </row>
    <row r="1035" spans="1:2" x14ac:dyDescent="0.3">
      <c r="A1035" s="279" t="s">
        <v>3312</v>
      </c>
      <c r="B1035" s="279"/>
    </row>
    <row r="1036" spans="1:2" x14ac:dyDescent="0.3">
      <c r="A1036" s="279" t="s">
        <v>3313</v>
      </c>
      <c r="B1036" s="279"/>
    </row>
    <row r="1037" spans="1:2" x14ac:dyDescent="0.3">
      <c r="A1037" s="276" t="s">
        <v>2342</v>
      </c>
      <c r="B1037" s="279"/>
    </row>
    <row r="1038" spans="1:2" x14ac:dyDescent="0.3">
      <c r="A1038" s="275" t="s">
        <v>2329</v>
      </c>
      <c r="B1038" s="279"/>
    </row>
    <row r="1039" spans="1:2" x14ac:dyDescent="0.3">
      <c r="A1039" s="278" t="s">
        <v>2332</v>
      </c>
      <c r="B1039" s="279"/>
    </row>
    <row r="1040" spans="1:2" x14ac:dyDescent="0.3">
      <c r="A1040" s="279" t="s">
        <v>3314</v>
      </c>
      <c r="B1040" s="279"/>
    </row>
    <row r="1041" spans="1:2" x14ac:dyDescent="0.3">
      <c r="A1041" s="275" t="s">
        <v>2334</v>
      </c>
      <c r="B1041" s="279"/>
    </row>
    <row r="1042" spans="1:2" x14ac:dyDescent="0.3">
      <c r="A1042" s="278" t="s">
        <v>2336</v>
      </c>
      <c r="B1042" s="279"/>
    </row>
    <row r="1043" spans="1:2" x14ac:dyDescent="0.3">
      <c r="A1043" s="279" t="s">
        <v>3315</v>
      </c>
      <c r="B1043" s="279"/>
    </row>
    <row r="1044" spans="1:2" x14ac:dyDescent="0.3">
      <c r="A1044" s="278" t="s">
        <v>2339</v>
      </c>
      <c r="B1044" s="279"/>
    </row>
    <row r="1045" spans="1:2" x14ac:dyDescent="0.3">
      <c r="A1045" s="279" t="s">
        <v>3316</v>
      </c>
      <c r="B1045" s="279"/>
    </row>
    <row r="1046" spans="1:2" x14ac:dyDescent="0.3">
      <c r="A1046" s="276" t="s">
        <v>2350</v>
      </c>
      <c r="B1046" s="279"/>
    </row>
    <row r="1047" spans="1:2" x14ac:dyDescent="0.3">
      <c r="A1047" s="275" t="s">
        <v>2345</v>
      </c>
      <c r="B1047" s="279"/>
    </row>
    <row r="1048" spans="1:2" x14ac:dyDescent="0.3">
      <c r="A1048" s="278" t="s">
        <v>2347</v>
      </c>
      <c r="B1048" s="279"/>
    </row>
    <row r="1049" spans="1:2" x14ac:dyDescent="0.3">
      <c r="A1049" s="279" t="s">
        <v>3317</v>
      </c>
    </row>
  </sheetData>
  <sheetProtection algorithmName="SHA-512" hashValue="RzgP9kyR7z0o/GRJ/gZIZkMXQu9zUCAlTbZxpCPKGFyo2BKxbxKtVsqQG4Dl2QTpjTB26EpE+g4j+kPgAFcA0Q==" saltValue="KCTNSC7Mdg1YB/fonE+U2A==" spinCount="100000" sheet="1" objects="1" scenarios="1"/>
  <sortState xmlns:xlrd2="http://schemas.microsoft.com/office/spreadsheetml/2017/richdata2" ref="B3:B398">
    <sortCondition ref="B3:B398"/>
  </sortState>
  <phoneticPr fontId="3" type="noConversion"/>
  <pageMargins left="0.7" right="0.7" top="0.75" bottom="0.75" header="0.3" footer="0.3"/>
  <pageSetup paperSize="9" orientation="portrait"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85A03-4878-4426-A2CC-5DD7C0041933}">
  <sheetPr codeName="Sheet14"/>
  <dimension ref="A1:N806"/>
  <sheetViews>
    <sheetView zoomScaleNormal="100" workbookViewId="0"/>
  </sheetViews>
  <sheetFormatPr baseColWidth="10" defaultColWidth="11" defaultRowHeight="14.4" x14ac:dyDescent="0.3"/>
  <cols>
    <col min="1" max="1" width="52.33203125" style="2" customWidth="1"/>
    <col min="2" max="2" width="56.33203125" style="2" customWidth="1"/>
    <col min="3" max="6" width="50.6640625" style="2" customWidth="1"/>
    <col min="7" max="8" width="51.109375" style="2" bestFit="1" customWidth="1"/>
    <col min="9" max="14" width="50.6640625" style="2" customWidth="1"/>
  </cols>
  <sheetData>
    <row r="1" spans="1:14" ht="28.8" x14ac:dyDescent="0.3">
      <c r="A1" s="502" t="s">
        <v>3318</v>
      </c>
      <c r="B1" s="502" t="s">
        <v>3319</v>
      </c>
      <c r="C1" s="503" t="s">
        <v>3320</v>
      </c>
      <c r="D1" s="503" t="s">
        <v>3321</v>
      </c>
      <c r="E1" s="503" t="s">
        <v>3322</v>
      </c>
      <c r="F1" s="503" t="s">
        <v>3323</v>
      </c>
      <c r="G1" s="503" t="s">
        <v>3324</v>
      </c>
      <c r="H1" s="503" t="s">
        <v>3325</v>
      </c>
      <c r="I1" s="503" t="s">
        <v>3326</v>
      </c>
      <c r="J1" s="503" t="s">
        <v>3327</v>
      </c>
      <c r="K1" s="503" t="s">
        <v>3328</v>
      </c>
      <c r="L1" s="503" t="s">
        <v>3329</v>
      </c>
      <c r="M1" s="503" t="s">
        <v>3330</v>
      </c>
      <c r="N1" s="503" t="s">
        <v>3331</v>
      </c>
    </row>
    <row r="2" spans="1:14" x14ac:dyDescent="0.3">
      <c r="A2" s="79"/>
      <c r="B2" s="79"/>
      <c r="C2" s="504" t="s">
        <v>3332</v>
      </c>
      <c r="D2" s="504" t="s">
        <v>3333</v>
      </c>
      <c r="E2" s="504" t="s">
        <v>3334</v>
      </c>
      <c r="F2" s="504" t="s">
        <v>3335</v>
      </c>
      <c r="G2" s="504" t="s">
        <v>3336</v>
      </c>
      <c r="H2" s="504" t="s">
        <v>3337</v>
      </c>
      <c r="I2" s="504" t="s">
        <v>3338</v>
      </c>
      <c r="J2" s="504" t="s">
        <v>3339</v>
      </c>
      <c r="K2" s="504" t="s">
        <v>3340</v>
      </c>
      <c r="L2" s="504" t="s">
        <v>3341</v>
      </c>
      <c r="M2" s="504" t="s">
        <v>3342</v>
      </c>
      <c r="N2" s="504" t="s">
        <v>3343</v>
      </c>
    </row>
    <row r="3" spans="1:14" ht="28.8" x14ac:dyDescent="0.3">
      <c r="A3" s="79"/>
      <c r="B3" s="505"/>
      <c r="C3" s="504" t="str">
        <f>C1&amp; " [" &amp;C2 &amp; "]"</f>
        <v>English - Official [en]</v>
      </c>
      <c r="D3" s="504" t="str">
        <f t="shared" ref="D3:E3" si="0">D1&amp; " [" &amp;D2 &amp; "]"</f>
        <v>Danish - Reviewed translation by Danish Standard Setter [da]</v>
      </c>
      <c r="E3" s="504" t="str">
        <f t="shared" si="0"/>
        <v>Dutch - Reviewed translation by Ducth Standard Setter [nl]</v>
      </c>
      <c r="F3" s="504" t="str">
        <f>F1&amp; " [" &amp;F2 &amp; "]"</f>
        <v>French - Reviewed translation by French Standard Setter [fr]</v>
      </c>
      <c r="G3" s="504" t="str">
        <f>G1&amp; " [" &amp;G2 &amp; "]"</f>
        <v>German - Reviewed translation by German Standard Setter [de]</v>
      </c>
      <c r="H3" s="504" t="str">
        <f>H1&amp; " [" &amp;H2 &amp; "]"</f>
        <v>Irish - Reviewed translation by Irish Standard Setter [ga]</v>
      </c>
      <c r="I3" s="504" t="str">
        <f t="shared" ref="I3:N3" si="1">I1&amp; " [" &amp;I2 &amp; "]"</f>
        <v>Italian - Reviewed translation by Italian Standard Setter [it]</v>
      </c>
      <c r="J3" s="504" t="str">
        <f t="shared" si="1"/>
        <v>Lithuanian - Reviewed translation by Lithuanian Standard Setter [lt]</v>
      </c>
      <c r="K3" s="504" t="str">
        <f t="shared" si="1"/>
        <v>Polish - Reviewed translation by Polish Standard Setter [pl]</v>
      </c>
      <c r="L3" s="504" t="str">
        <f t="shared" si="1"/>
        <v>Portuguese - Reviewed translation by Portuguese Standard Setter [pt]</v>
      </c>
      <c r="M3" s="504" t="str">
        <f>M1&amp; " [" &amp;M2 &amp; "]"</f>
        <v>Slovenian - Reviewed translation by Slovenian Standard Setter [sl]</v>
      </c>
      <c r="N3" s="504" t="str">
        <f t="shared" si="1"/>
        <v>Spanish - Reviewed translation by Spanish Standard Setter [es]</v>
      </c>
    </row>
    <row r="4" spans="1:14" x14ac:dyDescent="0.3">
      <c r="A4" s="501" t="s">
        <v>3344</v>
      </c>
      <c r="B4" s="506" t="str">
        <f t="shared" ref="B4:B65" si="2">INDEX(C4:N4,MATCH(template_selected_display_language,$C$3:$N$3,0))</f>
        <v>Nom de l'entreprise</v>
      </c>
      <c r="C4" s="507" t="s">
        <v>3345</v>
      </c>
      <c r="D4" s="501" t="s">
        <v>3346</v>
      </c>
      <c r="E4" s="501" t="s">
        <v>3347</v>
      </c>
      <c r="F4" s="501" t="s">
        <v>3348</v>
      </c>
      <c r="G4" s="508" t="s">
        <v>3349</v>
      </c>
      <c r="H4" s="508" t="s">
        <v>3350</v>
      </c>
      <c r="I4" s="507" t="s">
        <v>3351</v>
      </c>
      <c r="J4" s="507" t="s">
        <v>3352</v>
      </c>
      <c r="K4" s="507" t="s">
        <v>3353</v>
      </c>
      <c r="L4" s="507" t="s">
        <v>3354</v>
      </c>
      <c r="M4" s="507" t="s">
        <v>3355</v>
      </c>
      <c r="N4" s="507" t="s">
        <v>3356</v>
      </c>
    </row>
    <row r="5" spans="1:14" x14ac:dyDescent="0.3">
      <c r="A5" s="501" t="s">
        <v>3357</v>
      </c>
      <c r="B5" s="506" t="str">
        <f t="shared" si="2"/>
        <v>Identifiant de l'entreprise</v>
      </c>
      <c r="C5" s="507" t="s">
        <v>3358</v>
      </c>
      <c r="D5" s="501" t="s">
        <v>3359</v>
      </c>
      <c r="E5" s="501" t="s">
        <v>3360</v>
      </c>
      <c r="F5" s="501" t="s">
        <v>3361</v>
      </c>
      <c r="G5" s="508" t="s">
        <v>3362</v>
      </c>
      <c r="H5" s="508" t="s">
        <v>3363</v>
      </c>
      <c r="I5" s="507" t="s">
        <v>3364</v>
      </c>
      <c r="J5" s="507" t="s">
        <v>3365</v>
      </c>
      <c r="K5" s="507" t="s">
        <v>3366</v>
      </c>
      <c r="L5" s="507" t="s">
        <v>3367</v>
      </c>
      <c r="M5" s="507" t="s">
        <v>3368</v>
      </c>
      <c r="N5" s="507" t="s">
        <v>3369</v>
      </c>
    </row>
    <row r="6" spans="1:14" ht="28.8" x14ac:dyDescent="0.3">
      <c r="A6" s="501" t="s">
        <v>3370</v>
      </c>
      <c r="B6" s="506" t="str">
        <f t="shared" si="2"/>
        <v>Schéma d'identification de l'entreprise</v>
      </c>
      <c r="C6" s="507" t="s">
        <v>3371</v>
      </c>
      <c r="D6" s="501" t="s">
        <v>3372</v>
      </c>
      <c r="E6" s="501" t="s">
        <v>3373</v>
      </c>
      <c r="F6" s="501" t="s">
        <v>3374</v>
      </c>
      <c r="G6" s="508" t="s">
        <v>3375</v>
      </c>
      <c r="H6" s="508" t="s">
        <v>3376</v>
      </c>
      <c r="I6" s="507" t="s">
        <v>3377</v>
      </c>
      <c r="J6" s="507" t="s">
        <v>3378</v>
      </c>
      <c r="K6" s="507" t="s">
        <v>3379</v>
      </c>
      <c r="L6" s="507" t="s">
        <v>3380</v>
      </c>
      <c r="M6" s="507" t="s">
        <v>3381</v>
      </c>
      <c r="N6" s="507" t="s">
        <v>3382</v>
      </c>
    </row>
    <row r="7" spans="1:14" x14ac:dyDescent="0.3">
      <c r="A7" s="501" t="s">
        <v>3383</v>
      </c>
      <c r="B7" s="506" t="str">
        <f t="shared" si="2"/>
        <v>Devise utilisée dans le rapport</v>
      </c>
      <c r="C7" s="507" t="s">
        <v>3384</v>
      </c>
      <c r="D7" s="501" t="s">
        <v>3385</v>
      </c>
      <c r="E7" s="501" t="s">
        <v>3385</v>
      </c>
      <c r="F7" s="501" t="s">
        <v>3386</v>
      </c>
      <c r="G7" s="508" t="s">
        <v>3387</v>
      </c>
      <c r="H7" s="508" t="s">
        <v>3388</v>
      </c>
      <c r="I7" s="507" t="s">
        <v>3389</v>
      </c>
      <c r="J7" s="507" t="s">
        <v>3390</v>
      </c>
      <c r="K7" s="507" t="s">
        <v>3391</v>
      </c>
      <c r="L7" s="507" t="s">
        <v>3392</v>
      </c>
      <c r="M7" s="507" t="s">
        <v>3393</v>
      </c>
      <c r="N7" s="507" t="s">
        <v>3394</v>
      </c>
    </row>
    <row r="8" spans="1:14" x14ac:dyDescent="0.3">
      <c r="A8" s="501" t="s">
        <v>3395</v>
      </c>
      <c r="B8" s="506" t="str">
        <f t="shared" si="2"/>
        <v>Séparateur décimal</v>
      </c>
      <c r="C8" s="507" t="s">
        <v>3396</v>
      </c>
      <c r="D8" s="501" t="s">
        <v>3396</v>
      </c>
      <c r="E8" s="501" t="s">
        <v>3397</v>
      </c>
      <c r="F8" s="501" t="s">
        <v>3398</v>
      </c>
      <c r="G8" s="508" t="s">
        <v>3399</v>
      </c>
      <c r="H8" s="508" t="s">
        <v>3400</v>
      </c>
      <c r="I8" s="507" t="s">
        <v>3401</v>
      </c>
      <c r="J8" s="507" t="s">
        <v>3402</v>
      </c>
      <c r="K8" s="507" t="s">
        <v>3403</v>
      </c>
      <c r="L8" s="507" t="s">
        <v>3404</v>
      </c>
      <c r="M8" s="507" t="s">
        <v>3405</v>
      </c>
      <c r="N8" s="507" t="s">
        <v>3404</v>
      </c>
    </row>
    <row r="9" spans="1:14" ht="43.2" x14ac:dyDescent="0.3">
      <c r="A9" s="501" t="s">
        <v>3406</v>
      </c>
      <c r="B9" s="506" t="str">
        <f t="shared" si="2"/>
        <v>Période de reporting</v>
      </c>
      <c r="C9" s="507" t="s">
        <v>3407</v>
      </c>
      <c r="D9" s="501" t="s">
        <v>3408</v>
      </c>
      <c r="E9" s="501" t="s">
        <v>3409</v>
      </c>
      <c r="F9" s="501" t="s">
        <v>3410</v>
      </c>
      <c r="G9" s="508" t="s">
        <v>3411</v>
      </c>
      <c r="H9" s="508" t="s">
        <v>3412</v>
      </c>
      <c r="I9" s="507" t="s">
        <v>3413</v>
      </c>
      <c r="J9" s="507" t="s">
        <v>3414</v>
      </c>
      <c r="K9" s="507" t="s">
        <v>3415</v>
      </c>
      <c r="L9" s="507" t="s">
        <v>3416</v>
      </c>
      <c r="M9" s="507" t="s">
        <v>3417</v>
      </c>
      <c r="N9" s="507" t="s">
        <v>3418</v>
      </c>
    </row>
    <row r="10" spans="1:14" x14ac:dyDescent="0.3">
      <c r="A10" s="501" t="s">
        <v>3419</v>
      </c>
      <c r="B10" s="506" t="str">
        <f t="shared" si="2"/>
        <v>Rapport généré</v>
      </c>
      <c r="C10" s="507" t="s">
        <v>3420</v>
      </c>
      <c r="D10" s="501" t="s">
        <v>3421</v>
      </c>
      <c r="E10" s="501" t="s">
        <v>3422</v>
      </c>
      <c r="F10" s="501" t="s">
        <v>3423</v>
      </c>
      <c r="G10" s="508" t="s">
        <v>3424</v>
      </c>
      <c r="H10" s="508" t="s">
        <v>3425</v>
      </c>
      <c r="I10" s="507" t="s">
        <v>3426</v>
      </c>
      <c r="J10" s="507" t="s">
        <v>3427</v>
      </c>
      <c r="K10" s="507" t="s">
        <v>3428</v>
      </c>
      <c r="L10" s="507" t="s">
        <v>3429</v>
      </c>
      <c r="M10" s="507" t="s">
        <v>3430</v>
      </c>
      <c r="N10" s="507" t="s">
        <v>3431</v>
      </c>
    </row>
    <row r="11" spans="1:14" ht="28.8" x14ac:dyDescent="0.3">
      <c r="A11" s="501" t="s">
        <v>3432</v>
      </c>
      <c r="B11" s="506" t="str">
        <f t="shared" si="2"/>
        <v>Toutes les informations se rapportent à la période de reporting ci-dessus, sauf indication contraire.</v>
      </c>
      <c r="C11" s="507" t="s">
        <v>3433</v>
      </c>
      <c r="D11" s="501" t="s">
        <v>3434</v>
      </c>
      <c r="E11" s="501" t="s">
        <v>3435</v>
      </c>
      <c r="F11" s="501" t="s">
        <v>3436</v>
      </c>
      <c r="G11" s="508" t="s">
        <v>3437</v>
      </c>
      <c r="H11" s="508" t="s">
        <v>3438</v>
      </c>
      <c r="I11" s="507" t="s">
        <v>3439</v>
      </c>
      <c r="J11" s="507" t="s">
        <v>3440</v>
      </c>
      <c r="K11" s="507" t="s">
        <v>3441</v>
      </c>
      <c r="L11" s="507" t="s">
        <v>3442</v>
      </c>
      <c r="M11" s="507" t="s">
        <v>3443</v>
      </c>
      <c r="N11" s="507" t="s">
        <v>3444</v>
      </c>
    </row>
    <row r="12" spans="1:14" ht="43.2" x14ac:dyDescent="0.3">
      <c r="A12" s="501" t="s">
        <v>3445</v>
      </c>
      <c r="B12" s="506" t="str">
        <f t="shared" si="2"/>
        <v>Table des matières</v>
      </c>
      <c r="C12" s="507" t="s">
        <v>3446</v>
      </c>
      <c r="D12" s="501" t="s">
        <v>3447</v>
      </c>
      <c r="E12" s="501" t="s">
        <v>3448</v>
      </c>
      <c r="F12" s="501" t="s">
        <v>3449</v>
      </c>
      <c r="G12" s="508" t="s">
        <v>3450</v>
      </c>
      <c r="H12" s="508" t="s">
        <v>3451</v>
      </c>
      <c r="I12" s="507" t="s">
        <v>3452</v>
      </c>
      <c r="J12" s="507" t="s">
        <v>3453</v>
      </c>
      <c r="K12" s="507" t="s">
        <v>3454</v>
      </c>
      <c r="L12" s="507" t="s">
        <v>3455</v>
      </c>
      <c r="M12" s="507" t="s">
        <v>3456</v>
      </c>
      <c r="N12" s="507" t="s">
        <v>3457</v>
      </c>
    </row>
    <row r="13" spans="1:14" x14ac:dyDescent="0.3">
      <c r="A13" s="501" t="s">
        <v>3458</v>
      </c>
      <c r="B13" s="506" t="str">
        <f t="shared" si="2"/>
        <v>Période de reporting :</v>
      </c>
      <c r="C13" s="507" t="s">
        <v>3459</v>
      </c>
      <c r="D13" s="501" t="s">
        <v>3460</v>
      </c>
      <c r="E13" s="501" t="s">
        <v>3461</v>
      </c>
      <c r="F13" s="501" t="s">
        <v>3462</v>
      </c>
      <c r="G13" s="508" t="s">
        <v>3463</v>
      </c>
      <c r="H13" s="508" t="s">
        <v>3464</v>
      </c>
      <c r="I13" s="507" t="s">
        <v>3413</v>
      </c>
      <c r="J13" s="507" t="s">
        <v>3465</v>
      </c>
      <c r="K13" s="507" t="s">
        <v>3415</v>
      </c>
      <c r="L13" s="507" t="s">
        <v>3466</v>
      </c>
      <c r="M13" s="507" t="s">
        <v>3467</v>
      </c>
      <c r="N13" s="507" t="s">
        <v>3468</v>
      </c>
    </row>
    <row r="14" spans="1:14" ht="29.4" thickBot="1" x14ac:dyDescent="0.35">
      <c r="A14" s="509" t="s">
        <v>3469</v>
      </c>
      <c r="B14" s="510" t="str">
        <f t="shared" si="2"/>
        <v>Ce rapport contient</v>
      </c>
      <c r="C14" s="511" t="s">
        <v>3470</v>
      </c>
      <c r="D14" s="509" t="s">
        <v>3471</v>
      </c>
      <c r="E14" s="509" t="s">
        <v>3472</v>
      </c>
      <c r="F14" s="509" t="s">
        <v>3473</v>
      </c>
      <c r="G14" s="512" t="s">
        <v>3474</v>
      </c>
      <c r="H14" s="512" t="s">
        <v>3475</v>
      </c>
      <c r="I14" s="511" t="s">
        <v>3476</v>
      </c>
      <c r="J14" s="511" t="s">
        <v>3477</v>
      </c>
      <c r="K14" s="511" t="s">
        <v>3478</v>
      </c>
      <c r="L14" s="511" t="s">
        <v>3479</v>
      </c>
      <c r="M14" s="511" t="s">
        <v>3480</v>
      </c>
      <c r="N14" s="511" t="s">
        <v>3481</v>
      </c>
    </row>
    <row r="15" spans="1:14" x14ac:dyDescent="0.3">
      <c r="A15" s="501" t="s">
        <v>3482</v>
      </c>
      <c r="B15" s="506" t="str">
        <f t="shared" si="2"/>
        <v>Version :</v>
      </c>
      <c r="C15" s="507" t="s">
        <v>3483</v>
      </c>
      <c r="D15" s="501" t="s">
        <v>3483</v>
      </c>
      <c r="E15" s="501" t="s">
        <v>3484</v>
      </c>
      <c r="F15" s="501" t="s">
        <v>3485</v>
      </c>
      <c r="G15" s="508" t="s">
        <v>3483</v>
      </c>
      <c r="H15" s="508" t="s">
        <v>3486</v>
      </c>
      <c r="I15" s="507" t="s">
        <v>3487</v>
      </c>
      <c r="J15" s="507" t="s">
        <v>3488</v>
      </c>
      <c r="K15" s="507" t="s">
        <v>3489</v>
      </c>
      <c r="L15" s="507" t="s">
        <v>3490</v>
      </c>
      <c r="M15" s="507" t="s">
        <v>3491</v>
      </c>
      <c r="N15" s="507" t="s">
        <v>3492</v>
      </c>
    </row>
    <row r="16" spans="1:14" x14ac:dyDescent="0.3">
      <c r="A16" s="501" t="s">
        <v>3493</v>
      </c>
      <c r="B16" s="506" t="str">
        <f t="shared" si="2"/>
        <v>Date de publication :</v>
      </c>
      <c r="C16" s="507" t="s">
        <v>3494</v>
      </c>
      <c r="D16" s="501" t="s">
        <v>3495</v>
      </c>
      <c r="E16" s="501" t="s">
        <v>3496</v>
      </c>
      <c r="F16" s="501" t="s">
        <v>3497</v>
      </c>
      <c r="G16" s="508" t="s">
        <v>3498</v>
      </c>
      <c r="H16" s="508" t="s">
        <v>3499</v>
      </c>
      <c r="I16" s="2" t="s">
        <v>3500</v>
      </c>
      <c r="J16" s="507" t="s">
        <v>3501</v>
      </c>
      <c r="K16" s="507" t="s">
        <v>3502</v>
      </c>
      <c r="L16" s="507" t="s">
        <v>3503</v>
      </c>
      <c r="M16" s="507" t="s">
        <v>3504</v>
      </c>
      <c r="N16" s="507" t="s">
        <v>3505</v>
      </c>
    </row>
    <row r="17" spans="1:14" x14ac:dyDescent="0.3">
      <c r="A17" s="501" t="s">
        <v>3506</v>
      </c>
      <c r="B17" s="506" t="str">
        <f t="shared" si="2"/>
        <v>Point d'entrée de la taxonomie XBRL :</v>
      </c>
      <c r="C17" s="507" t="s">
        <v>3507</v>
      </c>
      <c r="D17" s="501" t="s">
        <v>3508</v>
      </c>
      <c r="E17" s="501" t="s">
        <v>3509</v>
      </c>
      <c r="F17" s="501" t="s">
        <v>3510</v>
      </c>
      <c r="G17" s="508" t="s">
        <v>3511</v>
      </c>
      <c r="H17" s="508" t="s">
        <v>3512</v>
      </c>
      <c r="I17" s="2" t="s">
        <v>3513</v>
      </c>
      <c r="J17" s="507" t="s">
        <v>3514</v>
      </c>
      <c r="K17" s="507" t="s">
        <v>3515</v>
      </c>
      <c r="L17" s="507" t="s">
        <v>3516</v>
      </c>
      <c r="M17" s="507" t="s">
        <v>3517</v>
      </c>
      <c r="N17" s="507" t="s">
        <v>3518</v>
      </c>
    </row>
    <row r="18" spans="1:14" x14ac:dyDescent="0.3">
      <c r="A18" s="501" t="s">
        <v>3519</v>
      </c>
      <c r="B18" s="506" t="str">
        <f>INDEX(C18:N18,MATCH(template_selected_display_language,$C$3:$N$3,0))</f>
        <v>Sélection de la langue</v>
      </c>
      <c r="C18" s="507" t="s">
        <v>3520</v>
      </c>
      <c r="D18" s="501" t="s">
        <v>3521</v>
      </c>
      <c r="E18" s="501" t="s">
        <v>3522</v>
      </c>
      <c r="F18" s="501" t="s">
        <v>3523</v>
      </c>
      <c r="G18" s="501" t="s">
        <v>3524</v>
      </c>
      <c r="H18" s="501" t="s">
        <v>3525</v>
      </c>
      <c r="I18" s="501" t="s">
        <v>3526</v>
      </c>
      <c r="J18" s="501" t="s">
        <v>3527</v>
      </c>
      <c r="K18" s="501" t="s">
        <v>3528</v>
      </c>
      <c r="L18" s="501" t="s">
        <v>3529</v>
      </c>
      <c r="M18" s="501" t="s">
        <v>3530</v>
      </c>
      <c r="N18" s="501" t="s">
        <v>3531</v>
      </c>
    </row>
    <row r="19" spans="1:14" ht="57.6" x14ac:dyDescent="0.3">
      <c r="A19" s="501" t="s">
        <v>3532</v>
      </c>
      <c r="B19" s="506" t="str">
        <f>INDEX(C19:N19,MATCH(template_selected_display_language,$C$3:$N$3,0))</f>
        <v>Le modèle numérique VSME permet des traductions dans différentes langues de l’UE.
Veuillez sélectionner la langue dans le menu déroulant ci-dessous.</v>
      </c>
      <c r="C19" s="507" t="s">
        <v>3533</v>
      </c>
      <c r="D19" s="501" t="s">
        <v>3534</v>
      </c>
      <c r="E19" s="501" t="s">
        <v>3535</v>
      </c>
      <c r="F19" s="501" t="s">
        <v>3536</v>
      </c>
      <c r="G19" s="501" t="s">
        <v>3537</v>
      </c>
      <c r="H19" s="501" t="s">
        <v>3538</v>
      </c>
      <c r="I19" s="501" t="s">
        <v>3539</v>
      </c>
      <c r="J19" s="501" t="s">
        <v>3540</v>
      </c>
      <c r="K19" s="501" t="s">
        <v>3541</v>
      </c>
      <c r="L19" s="501" t="s">
        <v>3542</v>
      </c>
      <c r="M19" s="501" t="s">
        <v>3543</v>
      </c>
      <c r="N19" s="501" t="s">
        <v>3544</v>
      </c>
    </row>
    <row r="20" spans="1:14" x14ac:dyDescent="0.3">
      <c r="A20" s="501" t="s">
        <v>3545</v>
      </c>
      <c r="B20" s="506" t="str">
        <f t="shared" si="2"/>
        <v>Titre du rapport</v>
      </c>
      <c r="C20" s="507" t="s">
        <v>3546</v>
      </c>
      <c r="D20" s="501" t="s">
        <v>3547</v>
      </c>
      <c r="E20" s="501" t="s">
        <v>3548</v>
      </c>
      <c r="F20" s="501" t="s">
        <v>3549</v>
      </c>
      <c r="G20" s="508" t="s">
        <v>3550</v>
      </c>
      <c r="H20" s="508" t="s">
        <v>3551</v>
      </c>
      <c r="I20" s="2" t="s">
        <v>3552</v>
      </c>
      <c r="J20" s="507" t="s">
        <v>3553</v>
      </c>
      <c r="K20" s="507" t="s">
        <v>3554</v>
      </c>
      <c r="L20" s="507" t="s">
        <v>3555</v>
      </c>
      <c r="M20" s="507" t="s">
        <v>3556</v>
      </c>
      <c r="N20" s="507" t="s">
        <v>3557</v>
      </c>
    </row>
    <row r="21" spans="1:14" ht="43.2" x14ac:dyDescent="0.3">
      <c r="A21" s="501" t="s">
        <v>3558</v>
      </c>
      <c r="B21" s="506" t="str">
        <f t="shared" si="2"/>
        <v>Rapport de durabilité</v>
      </c>
      <c r="C21" s="507" t="s">
        <v>3559</v>
      </c>
      <c r="D21" s="501" t="s">
        <v>3560</v>
      </c>
      <c r="E21" s="501" t="s">
        <v>3561</v>
      </c>
      <c r="F21" s="501" t="s">
        <v>3562</v>
      </c>
      <c r="G21" s="508" t="s">
        <v>3563</v>
      </c>
      <c r="H21" s="508" t="s">
        <v>3564</v>
      </c>
      <c r="I21" s="2" t="s">
        <v>3565</v>
      </c>
      <c r="J21" s="507" t="s">
        <v>3566</v>
      </c>
      <c r="K21" s="507" t="s">
        <v>3567</v>
      </c>
      <c r="L21" s="507" t="s">
        <v>3568</v>
      </c>
      <c r="M21" s="507" t="s">
        <v>3569</v>
      </c>
      <c r="N21" s="507" t="s">
        <v>3570</v>
      </c>
    </row>
    <row r="22" spans="1:14" ht="43.2" x14ac:dyDescent="0.3">
      <c r="A22" s="501" t="s">
        <v>3571</v>
      </c>
      <c r="B22" s="506" t="str">
        <f t="shared" si="2"/>
        <v>Sous-titre du rapport</v>
      </c>
      <c r="C22" s="507" t="s">
        <v>3572</v>
      </c>
      <c r="D22" s="501" t="s">
        <v>3573</v>
      </c>
      <c r="E22" s="501" t="s">
        <v>3574</v>
      </c>
      <c r="F22" s="501" t="s">
        <v>3575</v>
      </c>
      <c r="G22" s="508" t="s">
        <v>3576</v>
      </c>
      <c r="H22" s="508" t="s">
        <v>3577</v>
      </c>
      <c r="I22" s="2" t="s">
        <v>3578</v>
      </c>
      <c r="J22" s="507" t="s">
        <v>3579</v>
      </c>
      <c r="K22" s="507" t="s">
        <v>3580</v>
      </c>
      <c r="L22" s="507" t="s">
        <v>3581</v>
      </c>
      <c r="M22" s="507" t="s">
        <v>3582</v>
      </c>
      <c r="N22" s="507" t="s">
        <v>3583</v>
      </c>
    </row>
    <row r="23" spans="1:14" ht="72" x14ac:dyDescent="0.3">
      <c r="A23" s="501" t="s">
        <v>3584</v>
      </c>
      <c r="B23" s="506" t="str">
        <f t="shared" si="2"/>
        <v>Préparé conformément à la norme volontaire d’information en matière de durabilité pour les petites et moyennes entreprises (VSME), publiée par la Commission européenne le 30 juillet 2025</v>
      </c>
      <c r="C23" s="507" t="s">
        <v>3585</v>
      </c>
      <c r="D23" s="501" t="s">
        <v>3586</v>
      </c>
      <c r="E23" s="501" t="s">
        <v>3587</v>
      </c>
      <c r="F23" s="501" t="s">
        <v>3588</v>
      </c>
      <c r="G23" s="508" t="s">
        <v>3589</v>
      </c>
      <c r="H23" s="508" t="s">
        <v>3590</v>
      </c>
      <c r="I23" s="2" t="s">
        <v>3591</v>
      </c>
      <c r="J23" s="507" t="s">
        <v>3592</v>
      </c>
      <c r="K23" s="507" t="s">
        <v>3593</v>
      </c>
      <c r="L23" s="507" t="s">
        <v>3594</v>
      </c>
      <c r="M23" s="507" t="s">
        <v>3595</v>
      </c>
      <c r="N23" s="507" t="s">
        <v>3596</v>
      </c>
    </row>
    <row r="24" spans="1:14" x14ac:dyDescent="0.3">
      <c r="A24" s="501" t="s">
        <v>3597</v>
      </c>
      <c r="B24" s="506" t="str">
        <f t="shared" si="2"/>
        <v>Format numérique VSME</v>
      </c>
      <c r="C24" s="507" t="s">
        <v>3598</v>
      </c>
      <c r="D24" s="501" t="s">
        <v>3599</v>
      </c>
      <c r="E24" s="501" t="s">
        <v>3600</v>
      </c>
      <c r="F24" s="501" t="s">
        <v>3601</v>
      </c>
      <c r="G24" s="508" t="s">
        <v>3602</v>
      </c>
      <c r="H24" s="508" t="s">
        <v>3603</v>
      </c>
      <c r="I24" s="2" t="s">
        <v>3604</v>
      </c>
      <c r="J24" s="507" t="s">
        <v>3605</v>
      </c>
      <c r="K24" s="507" t="s">
        <v>3606</v>
      </c>
      <c r="L24" s="507" t="s">
        <v>3607</v>
      </c>
      <c r="M24" s="507" t="s">
        <v>3608</v>
      </c>
      <c r="N24" s="507" t="s">
        <v>3609</v>
      </c>
    </row>
    <row r="25" spans="1:14" ht="164.4" customHeight="1" x14ac:dyDescent="0.3">
      <c r="A25" s="501" t="s">
        <v>3610</v>
      </c>
      <c r="B25" s="506" t="str">
        <f t="shared" si="2"/>
        <v>L'objectif de ce format numérique est d’illustrer la manière dont le reporting VSME peut être mis en œuvre dans un format numérique standardisé. Ce format reflète la recommandation VSME telle que publiée par la Commission européenne le 30 juillet 2025. Il est accompagné d’une taxonomie numérique VSME au format XBRL, qui représente le modèle de données numériques correspondant aux informations à publier et est disponible sur le site internet de l’EFRAG. 
La norme VSME exige la publication d’informations comparatives sur les indicateurs (paragraphe 12). Le présent format permet de réaliser un reporting pour une seule période. Par conséquent, il peut être utilisé uniquement pour le reporting de la première année. Il est attendu que les futures solutions de reporting permettent la reconduction des périodes de reporting, afin de fournir automatiquement les informations comparatives nécessaires. 
Ce format peut être utilisé pour la saisie et la validation des données. 
En utilisant le convertisseur XBRL disponible sur le site de l'EFRAG, il peut être enregistré sous forme de rapport XBRL, dans un format de données libre et ouvert. Les plages nommées d’Excel sont utilisées pour extraire les informations à publier. Les cellules de valeur vides, ne contenant aucune donnée (ni texte ni nombre), ne seront pas considérées comme renseignées et ne seront donc pas incluses dans le rapport XBRL lors de l’utilisation du convertisseur Excel vers XBRL. 
Certains menus déroulants comportent plus de 100 entrées (par ex. les codes NACE sous B1, la liste des polluants sous B4, la liste des déchets sous B7). Pour effectuer une recherche dans ces listes, les utilisateurs peuvent simplement taper un mot-clé dans la cellule concernée.
En cas d’avertissement de sécurité, veuillez cliquer sur « Activer le contenu » afin d’autoriser le calcul automatique des coordonnées GPS pour la liste des sites sous B1. Aucun contenu autre que l’adresse saisie ne sera transmis sur Internet, et les informations partagées avec le prestataire peuvent être consultées dans la politique d’utilisation de Nominatim (Politique de géocodage) et la politique de confidentialité. 
L’ensemble des supports développés par le Secrétariat de l’EFRAG est mis à disposition gratuitement et en open source (sous licence MIT), ce qui permettra à toute partie prenante de les améliorer et de les intégrer dans des solutions commerciales. Cependant, les fournisseurs de ces solutions commerciales doivent respecter les conditions de la licence, notamment la mention obligatoire de la référence à l’EFRAG. La licence MIT peut être consultée dans la feuille dédiée. 
Si vous souhaitez signaler un problème concernant le format numérique VSME ou le convertisseur du format numérique vers XBRL, nous vous invitons à le faire en créant un ticket dans le projet GitHub.</v>
      </c>
      <c r="C25" s="507" t="s">
        <v>3611</v>
      </c>
      <c r="D25" s="501" t="s">
        <v>3612</v>
      </c>
      <c r="E25" s="501" t="s">
        <v>3613</v>
      </c>
      <c r="F25" s="501" t="s">
        <v>3614</v>
      </c>
      <c r="G25" s="508" t="s">
        <v>3615</v>
      </c>
      <c r="H25" s="508" t="s">
        <v>3616</v>
      </c>
      <c r="I25" s="2" t="s">
        <v>3617</v>
      </c>
      <c r="J25" s="507" t="s">
        <v>3618</v>
      </c>
      <c r="K25" s="507" t="s">
        <v>3619</v>
      </c>
      <c r="L25" s="507" t="s">
        <v>3620</v>
      </c>
      <c r="M25" s="507" t="s">
        <v>3621</v>
      </c>
      <c r="N25" s="507" t="s">
        <v>3622</v>
      </c>
    </row>
    <row r="26" spans="1:14" x14ac:dyDescent="0.3">
      <c r="A26" s="501" t="s">
        <v>3623</v>
      </c>
      <c r="B26" s="506" t="str">
        <f t="shared" si="2"/>
        <v>Comment l'utiliser :</v>
      </c>
      <c r="C26" s="507" t="s">
        <v>3624</v>
      </c>
      <c r="D26" s="501" t="s">
        <v>3625</v>
      </c>
      <c r="E26" s="501" t="s">
        <v>3626</v>
      </c>
      <c r="F26" s="501" t="s">
        <v>3627</v>
      </c>
      <c r="G26" s="508" t="s">
        <v>3628</v>
      </c>
      <c r="H26" s="508" t="s">
        <v>3629</v>
      </c>
      <c r="I26" s="2" t="s">
        <v>3630</v>
      </c>
      <c r="J26" s="507" t="s">
        <v>3631</v>
      </c>
      <c r="K26" s="507" t="s">
        <v>3632</v>
      </c>
      <c r="L26" s="507" t="s">
        <v>3633</v>
      </c>
      <c r="M26" s="507" t="s">
        <v>3634</v>
      </c>
      <c r="N26" s="507" t="s">
        <v>3635</v>
      </c>
    </row>
    <row r="27" spans="1:14" ht="28.8" x14ac:dyDescent="0.3">
      <c r="A27" s="501" t="s">
        <v>3636</v>
      </c>
      <c r="B27" s="506" t="str">
        <f t="shared" si="2"/>
        <v>0. Fournissez les informations obligatoires pour générer le rapport VSME et XBRL.</v>
      </c>
      <c r="C27" s="507" t="s">
        <v>3637</v>
      </c>
      <c r="D27" s="501" t="s">
        <v>3638</v>
      </c>
      <c r="E27" s="501" t="s">
        <v>3639</v>
      </c>
      <c r="F27" s="501" t="s">
        <v>3640</v>
      </c>
      <c r="G27" s="508" t="s">
        <v>3641</v>
      </c>
      <c r="H27" s="508" t="s">
        <v>3642</v>
      </c>
      <c r="I27" s="2" t="s">
        <v>3643</v>
      </c>
      <c r="J27" s="507" t="s">
        <v>3644</v>
      </c>
      <c r="K27" s="507" t="s">
        <v>3645</v>
      </c>
      <c r="L27" s="507" t="s">
        <v>3646</v>
      </c>
      <c r="M27" s="507" t="s">
        <v>3647</v>
      </c>
      <c r="N27" s="507" t="s">
        <v>3648</v>
      </c>
    </row>
    <row r="28" spans="1:14" ht="129.6" x14ac:dyDescent="0.3">
      <c r="A28" s="501" t="s">
        <v>3649</v>
      </c>
      <c r="B28" s="506" t="str">
        <f t="shared" si="2"/>
        <v>1. Remplissez les informations demandées dans les quatre feuilles de travail (Informations générales, Informations environnementales, Informations sociales, Informations de gouvernance) dans les cellules blanches encadrées d'une bordure noire. N'entrez aucune information en dehors de ces cellules. La recherche dans les menus déroulants peut être effectuée en tapant directement un mot-clé dans la cellule. Des indications (messages d'aide à la saisie) peuvent être affichées dans certaines cellules lors de leur sélection.</v>
      </c>
      <c r="C28" s="507" t="s">
        <v>3650</v>
      </c>
      <c r="D28" s="501" t="s">
        <v>3651</v>
      </c>
      <c r="E28" s="501" t="s">
        <v>3652</v>
      </c>
      <c r="F28" s="501" t="s">
        <v>3653</v>
      </c>
      <c r="G28" s="508" t="s">
        <v>3654</v>
      </c>
      <c r="H28" s="508" t="s">
        <v>3655</v>
      </c>
      <c r="I28" s="2" t="s">
        <v>3656</v>
      </c>
      <c r="J28" s="507" t="s">
        <v>3657</v>
      </c>
      <c r="K28" s="507" t="s">
        <v>3658</v>
      </c>
      <c r="L28" s="507" t="s">
        <v>3659</v>
      </c>
      <c r="M28" s="507" t="s">
        <v>3660</v>
      </c>
      <c r="N28" s="507" t="s">
        <v>3661</v>
      </c>
    </row>
    <row r="29" spans="1:14" ht="100.8" x14ac:dyDescent="0.3">
      <c r="A29" s="501" t="s">
        <v>3662</v>
      </c>
      <c r="B29" s="506" t="str">
        <f t="shared" si="2"/>
        <v>2. Consultez les liens associés pour obtenir plus d’informations sur les exigences de publication de la norme VSME, ainsi que sur les orientations correspondantes liées à chaque cellule. Des informations supplémentaires ou spécifiques à l'entité peuvent être fournies dans chaque zone de texte située à la fin de chaque feuille de travail.</v>
      </c>
      <c r="C29" s="507" t="s">
        <v>3663</v>
      </c>
      <c r="D29" s="501" t="s">
        <v>3664</v>
      </c>
      <c r="E29" s="501" t="s">
        <v>3665</v>
      </c>
      <c r="F29" s="501" t="s">
        <v>3666</v>
      </c>
      <c r="G29" s="508" t="s">
        <v>3667</v>
      </c>
      <c r="H29" s="508" t="s">
        <v>3668</v>
      </c>
      <c r="I29" s="2" t="s">
        <v>3669</v>
      </c>
      <c r="J29" s="507" t="s">
        <v>3670</v>
      </c>
      <c r="K29" s="507" t="s">
        <v>3671</v>
      </c>
      <c r="L29" s="507" t="s">
        <v>3672</v>
      </c>
      <c r="M29" s="507" t="s">
        <v>3673</v>
      </c>
      <c r="N29" s="507" t="s">
        <v>3674</v>
      </c>
    </row>
    <row r="30" spans="1:14" ht="115.2" x14ac:dyDescent="0.3">
      <c r="A30" s="501" t="s">
        <v>3675</v>
      </c>
      <c r="B30" s="506" t="str">
        <f t="shared" si="2"/>
        <v>3. Pour les tableaux ouverts, tels que la liste des filiales, veuillez développer les groupes en cliquant sur l’icône plus [+] située sur le côté gauche.
Si des lignes supplémentaires sont nécessaires, elles peuvent être ajoutées en les insérant entre la première et la dernière ligne du tableau.
Les identifiants des lignes dans les tableaux ouverts doivent rester uniques dans chacun des tableaux.</v>
      </c>
      <c r="C30" s="507" t="s">
        <v>3676</v>
      </c>
      <c r="D30" s="501" t="s">
        <v>3677</v>
      </c>
      <c r="E30" s="501" t="s">
        <v>3678</v>
      </c>
      <c r="F30" s="501" t="s">
        <v>3679</v>
      </c>
      <c r="G30" s="508" t="s">
        <v>3680</v>
      </c>
      <c r="H30" s="508" t="s">
        <v>3681</v>
      </c>
      <c r="I30" s="2" t="s">
        <v>3682</v>
      </c>
      <c r="J30" s="507" t="s">
        <v>3683</v>
      </c>
      <c r="K30" s="507" t="s">
        <v>3684</v>
      </c>
      <c r="L30" s="507" t="s">
        <v>3685</v>
      </c>
      <c r="M30" s="507" t="s">
        <v>3686</v>
      </c>
      <c r="N30" s="507" t="s">
        <v>3687</v>
      </c>
    </row>
    <row r="31" spans="1:14" ht="86.4" x14ac:dyDescent="0.3">
      <c r="A31" s="501" t="s">
        <v>3688</v>
      </c>
      <c r="B31" s="506" t="str">
        <f t="shared" si="2"/>
        <v>4. Validez les données saisies en vérifiant le statut de validation. Le rapport est considéré comme incomplet ou erroné si la validation échoue, ce qui peut entraîner la génération d’un rapport XBRL non valide.</v>
      </c>
      <c r="C31" s="507" t="s">
        <v>3689</v>
      </c>
      <c r="D31" s="501" t="s">
        <v>3690</v>
      </c>
      <c r="E31" s="501" t="s">
        <v>3691</v>
      </c>
      <c r="F31" s="501" t="s">
        <v>3692</v>
      </c>
      <c r="G31" s="508" t="s">
        <v>3693</v>
      </c>
      <c r="H31" s="508" t="s">
        <v>3694</v>
      </c>
      <c r="I31" s="2" t="s">
        <v>3695</v>
      </c>
      <c r="J31" s="507" t="s">
        <v>3696</v>
      </c>
      <c r="K31" s="507" t="s">
        <v>3697</v>
      </c>
      <c r="L31" s="507" t="s">
        <v>3698</v>
      </c>
      <c r="M31" s="507" t="s">
        <v>3699</v>
      </c>
      <c r="N31" s="507" t="s">
        <v>3700</v>
      </c>
    </row>
    <row r="32" spans="1:14" ht="72" x14ac:dyDescent="0.3">
      <c r="A32" s="501" t="s">
        <v>3701</v>
      </c>
      <c r="B32" s="506" t="str">
        <f t="shared" si="2"/>
        <v>5. Convertissez ce format en rapport Inline XBRL (ou XBRL-JSON, XBRL-CSV), en utilisant le convertisseur en ligne: https://xbrl.efrag.org/convert/. Faites attention à la validation XBRL effectuée par l'outil de validation.</v>
      </c>
      <c r="C32" s="507" t="s">
        <v>3702</v>
      </c>
      <c r="D32" s="501" t="s">
        <v>3703</v>
      </c>
      <c r="E32" s="501" t="s">
        <v>3704</v>
      </c>
      <c r="F32" s="501" t="s">
        <v>3705</v>
      </c>
      <c r="G32" s="508" t="s">
        <v>3706</v>
      </c>
      <c r="H32" s="508" t="s">
        <v>3707</v>
      </c>
      <c r="I32" s="2" t="s">
        <v>3708</v>
      </c>
      <c r="J32" s="507" t="s">
        <v>3709</v>
      </c>
      <c r="K32" s="507" t="s">
        <v>3710</v>
      </c>
      <c r="L32" s="507" t="s">
        <v>3711</v>
      </c>
      <c r="M32" s="507" t="s">
        <v>3712</v>
      </c>
      <c r="N32" s="507" t="s">
        <v>3713</v>
      </c>
    </row>
    <row r="33" spans="1:14" ht="28.8" x14ac:dyDescent="0.3">
      <c r="A33" s="501" t="s">
        <v>3714</v>
      </c>
      <c r="B33" s="506" t="str">
        <f t="shared" si="2"/>
        <v>6. L'entreprise peut aussi télécharger le rapport dans des registres publics en ligne ou sur une page web</v>
      </c>
      <c r="C33" s="507" t="s">
        <v>3715</v>
      </c>
      <c r="D33" s="501" t="s">
        <v>3716</v>
      </c>
      <c r="E33" s="501" t="s">
        <v>3717</v>
      </c>
      <c r="F33" s="501" t="s">
        <v>3718</v>
      </c>
      <c r="G33" s="508" t="s">
        <v>3719</v>
      </c>
      <c r="H33" s="508" t="s">
        <v>3720</v>
      </c>
      <c r="I33" s="2" t="s">
        <v>3721</v>
      </c>
      <c r="J33" s="507" t="s">
        <v>3722</v>
      </c>
      <c r="K33" s="507" t="s">
        <v>3723</v>
      </c>
      <c r="L33" s="507" t="s">
        <v>3724</v>
      </c>
      <c r="M33" s="507" t="s">
        <v>3725</v>
      </c>
      <c r="N33" s="507" t="s">
        <v>3726</v>
      </c>
    </row>
    <row r="34" spans="1:14" ht="28.8" x14ac:dyDescent="0.3">
      <c r="A34" s="501" t="s">
        <v>3727</v>
      </c>
      <c r="B34" s="506" t="str">
        <f t="shared" si="2"/>
        <v>Légende couleur des cellules :</v>
      </c>
      <c r="C34" s="507" t="s">
        <v>3728</v>
      </c>
      <c r="D34" s="501" t="s">
        <v>3729</v>
      </c>
      <c r="E34" s="501" t="s">
        <v>3730</v>
      </c>
      <c r="F34" s="501" t="s">
        <v>3731</v>
      </c>
      <c r="G34" s="508" t="s">
        <v>3732</v>
      </c>
      <c r="H34" s="508" t="s">
        <v>3733</v>
      </c>
      <c r="I34" s="2" t="s">
        <v>3734</v>
      </c>
      <c r="J34" s="507" t="s">
        <v>3735</v>
      </c>
      <c r="K34" s="507" t="s">
        <v>3736</v>
      </c>
      <c r="L34" s="507" t="s">
        <v>3737</v>
      </c>
      <c r="M34" s="507" t="s">
        <v>3738</v>
      </c>
      <c r="N34" s="507" t="s">
        <v>3739</v>
      </c>
    </row>
    <row r="35" spans="1:14" ht="43.2" x14ac:dyDescent="0.3">
      <c r="A35" s="501" t="s">
        <v>3740</v>
      </c>
      <c r="B35" s="506" t="str">
        <f t="shared" si="2"/>
        <v>Principes généraux</v>
      </c>
      <c r="C35" s="507" t="s">
        <v>3741</v>
      </c>
      <c r="D35" s="501" t="s">
        <v>3742</v>
      </c>
      <c r="E35" s="501" t="s">
        <v>3743</v>
      </c>
      <c r="F35" s="501" t="s">
        <v>3744</v>
      </c>
      <c r="G35" s="508" t="s">
        <v>3745</v>
      </c>
      <c r="H35" s="508" t="s">
        <v>3746</v>
      </c>
      <c r="I35" s="2" t="s">
        <v>3747</v>
      </c>
      <c r="J35" s="507" t="s">
        <v>3748</v>
      </c>
      <c r="K35" s="507" t="s">
        <v>3749</v>
      </c>
      <c r="L35" s="507" t="s">
        <v>3750</v>
      </c>
      <c r="M35" s="507" t="s">
        <v>3751</v>
      </c>
      <c r="N35" s="507" t="s">
        <v>3752</v>
      </c>
    </row>
    <row r="36" spans="1:14" ht="28.8" x14ac:dyDescent="0.3">
      <c r="A36" s="501" t="s">
        <v>3753</v>
      </c>
      <c r="B36" s="506" t="str">
        <f t="shared" si="2"/>
        <v>Indique que la divulgation relève des principes généraux de VSME</v>
      </c>
      <c r="C36" s="507" t="s">
        <v>3754</v>
      </c>
      <c r="D36" s="501" t="s">
        <v>3755</v>
      </c>
      <c r="E36" s="501" t="s">
        <v>3756</v>
      </c>
      <c r="F36" s="501" t="s">
        <v>3757</v>
      </c>
      <c r="G36" s="508" t="s">
        <v>3758</v>
      </c>
      <c r="H36" s="508" t="s">
        <v>3759</v>
      </c>
      <c r="I36" s="2" t="s">
        <v>3760</v>
      </c>
      <c r="J36" s="507" t="s">
        <v>3761</v>
      </c>
      <c r="K36" s="507" t="s">
        <v>3762</v>
      </c>
      <c r="L36" s="507" t="s">
        <v>3763</v>
      </c>
      <c r="M36" s="507" t="s">
        <v>3764</v>
      </c>
      <c r="N36" s="507" t="s">
        <v>3765</v>
      </c>
    </row>
    <row r="37" spans="1:14" x14ac:dyDescent="0.3">
      <c r="A37" s="501" t="s">
        <v>3766</v>
      </c>
      <c r="B37" s="506" t="str">
        <f t="shared" si="2"/>
        <v>Indique que la divulgation provient du module de base VSME.</v>
      </c>
      <c r="C37" s="507" t="s">
        <v>3767</v>
      </c>
      <c r="D37" s="501" t="s">
        <v>3768</v>
      </c>
      <c r="E37" s="501" t="s">
        <v>3769</v>
      </c>
      <c r="F37" s="501" t="s">
        <v>3770</v>
      </c>
      <c r="G37" s="508" t="s">
        <v>3771</v>
      </c>
      <c r="H37" s="508" t="s">
        <v>3772</v>
      </c>
      <c r="I37" s="2" t="s">
        <v>3773</v>
      </c>
      <c r="J37" s="507" t="s">
        <v>3774</v>
      </c>
      <c r="K37" s="507" t="s">
        <v>3775</v>
      </c>
      <c r="L37" s="507" t="s">
        <v>3776</v>
      </c>
      <c r="M37" s="507" t="s">
        <v>3777</v>
      </c>
      <c r="N37" s="507" t="s">
        <v>3778</v>
      </c>
    </row>
    <row r="38" spans="1:14" ht="28.8" x14ac:dyDescent="0.3">
      <c r="A38" s="501" t="s">
        <v>3779</v>
      </c>
      <c r="B38" s="506" t="str">
        <f t="shared" si="2"/>
        <v>Module complet</v>
      </c>
      <c r="C38" s="507" t="s">
        <v>3780</v>
      </c>
      <c r="D38" s="501" t="s">
        <v>3781</v>
      </c>
      <c r="E38" s="501" t="s">
        <v>3782</v>
      </c>
      <c r="F38" s="501" t="s">
        <v>3783</v>
      </c>
      <c r="G38" s="508" t="s">
        <v>3784</v>
      </c>
      <c r="H38" s="508" t="s">
        <v>3785</v>
      </c>
      <c r="I38" s="2" t="s">
        <v>3786</v>
      </c>
      <c r="J38" s="507" t="s">
        <v>3787</v>
      </c>
      <c r="K38" s="507" t="s">
        <v>3788</v>
      </c>
      <c r="L38" s="507" t="s">
        <v>3789</v>
      </c>
      <c r="M38" s="507" t="s">
        <v>3790</v>
      </c>
      <c r="N38" s="507" t="s">
        <v>3791</v>
      </c>
    </row>
    <row r="39" spans="1:14" ht="28.8" x14ac:dyDescent="0.3">
      <c r="A39" s="501" t="s">
        <v>3792</v>
      </c>
      <c r="B39" s="506" t="str">
        <f t="shared" si="2"/>
        <v>Indique que la divulgation provient du module complet VSME.</v>
      </c>
      <c r="C39" s="507" t="s">
        <v>3793</v>
      </c>
      <c r="D39" s="501" t="s">
        <v>3794</v>
      </c>
      <c r="E39" s="501" t="s">
        <v>3795</v>
      </c>
      <c r="F39" s="501" t="s">
        <v>3796</v>
      </c>
      <c r="G39" s="508" t="s">
        <v>3797</v>
      </c>
      <c r="H39" s="508" t="s">
        <v>3798</v>
      </c>
      <c r="I39" s="2" t="s">
        <v>3799</v>
      </c>
      <c r="J39" s="507" t="s">
        <v>3800</v>
      </c>
      <c r="K39" s="507" t="s">
        <v>3801</v>
      </c>
      <c r="L39" s="507" t="s">
        <v>3789</v>
      </c>
      <c r="M39" s="507" t="s">
        <v>3802</v>
      </c>
      <c r="N39" s="507" t="s">
        <v>3803</v>
      </c>
    </row>
    <row r="40" spans="1:14" ht="28.8" x14ac:dyDescent="0.3">
      <c r="A40" s="501" t="s">
        <v>3804</v>
      </c>
      <c r="B40" s="506" t="str">
        <f t="shared" si="2"/>
        <v>Indique que la cellule est calculée automatiquement et qu’aucune saisie de données n’est requise.</v>
      </c>
      <c r="C40" s="507" t="s">
        <v>3805</v>
      </c>
      <c r="D40" s="501" t="s">
        <v>3806</v>
      </c>
      <c r="E40" s="501" t="s">
        <v>3807</v>
      </c>
      <c r="F40" s="501" t="s">
        <v>3808</v>
      </c>
      <c r="G40" s="508" t="s">
        <v>3809</v>
      </c>
      <c r="H40" s="508" t="s">
        <v>3810</v>
      </c>
      <c r="I40" s="2" t="s">
        <v>3811</v>
      </c>
      <c r="J40" s="507" t="s">
        <v>3812</v>
      </c>
      <c r="K40" s="507" t="s">
        <v>3813</v>
      </c>
      <c r="L40" s="507" t="s">
        <v>3789</v>
      </c>
      <c r="M40" s="507" t="s">
        <v>3814</v>
      </c>
      <c r="N40" s="507" t="s">
        <v>3815</v>
      </c>
    </row>
    <row r="41" spans="1:14" ht="57.6" x14ac:dyDescent="0.3">
      <c r="A41" s="501" t="s">
        <v>3816</v>
      </c>
      <c r="B41" s="506" t="str">
        <f t="shared" si="2"/>
        <v>Indique que la cellule est calculée automatiquement et qu’aucune saisie de données n’est requise.</v>
      </c>
      <c r="C41" s="507" t="s">
        <v>3817</v>
      </c>
      <c r="D41" s="501" t="s">
        <v>3818</v>
      </c>
      <c r="E41" s="501" t="s">
        <v>3819</v>
      </c>
      <c r="F41" s="501" t="s">
        <v>3808</v>
      </c>
      <c r="G41" s="508" t="s">
        <v>3820</v>
      </c>
      <c r="H41" s="508" t="s">
        <v>3821</v>
      </c>
      <c r="I41" s="2" t="s">
        <v>3822</v>
      </c>
      <c r="J41" s="507" t="s">
        <v>3823</v>
      </c>
      <c r="K41" s="507" t="s">
        <v>3824</v>
      </c>
      <c r="L41" s="507" t="s">
        <v>3825</v>
      </c>
      <c r="M41" s="507" t="s">
        <v>3826</v>
      </c>
      <c r="N41" s="507" t="s">
        <v>3827</v>
      </c>
    </row>
    <row r="42" spans="1:14" ht="144" x14ac:dyDescent="0.3">
      <c r="A42" s="501" t="s">
        <v>3828</v>
      </c>
      <c r="B42" s="506" t="str">
        <f t="shared" si="2"/>
        <v>Indique que le point de donnée (souvent une condition) ne sera pas inclus dans le rapport VSME ni dans le rapport numérique XBRL. Ces cellules servent à faciliter la saisie des informations dans la mesure où elles déclenchent l'applicabilité de la divulgation ou permettent le calcul automatique des informations. Si les cellules jaunes ne sont pas utilisées pour calculer une valeur, le total à reporter peut être saisi manuellement, en remplaçant la formule existante.</v>
      </c>
      <c r="C42" s="507" t="s">
        <v>3829</v>
      </c>
      <c r="D42" s="501" t="s">
        <v>3830</v>
      </c>
      <c r="E42" s="501" t="s">
        <v>3831</v>
      </c>
      <c r="F42" s="501" t="s">
        <v>3832</v>
      </c>
      <c r="G42" s="508" t="s">
        <v>3833</v>
      </c>
      <c r="H42" s="508" t="s">
        <v>3834</v>
      </c>
      <c r="I42" s="2" t="s">
        <v>3835</v>
      </c>
      <c r="J42" s="507" t="s">
        <v>3836</v>
      </c>
      <c r="K42" s="507" t="s">
        <v>3837</v>
      </c>
      <c r="L42" s="507" t="s">
        <v>3838</v>
      </c>
      <c r="M42" s="507" t="s">
        <v>3839</v>
      </c>
      <c r="N42" s="507" t="s">
        <v>3840</v>
      </c>
    </row>
    <row r="43" spans="1:14" ht="57.6" x14ac:dyDescent="0.3">
      <c r="A43" s="501" t="s">
        <v>3841</v>
      </c>
      <c r="B43" s="506" t="str">
        <f t="shared" si="2"/>
        <v xml:space="preserve">Indique qu'aucune donnée n'est à saisir à moins que certains éléments soient sélectionnés dans l'information elle-même. Dans ce cas, la cellule deviendra blanche. </v>
      </c>
      <c r="C43" s="507" t="s">
        <v>3842</v>
      </c>
      <c r="D43" s="501" t="s">
        <v>3843</v>
      </c>
      <c r="E43" s="501" t="s">
        <v>3844</v>
      </c>
      <c r="F43" s="501" t="s">
        <v>3845</v>
      </c>
      <c r="G43" s="508" t="s">
        <v>3846</v>
      </c>
      <c r="H43" s="508" t="s">
        <v>3847</v>
      </c>
      <c r="I43" s="2" t="s">
        <v>3848</v>
      </c>
      <c r="J43" s="507" t="s">
        <v>3849</v>
      </c>
      <c r="K43" s="507" t="s">
        <v>3850</v>
      </c>
      <c r="L43" s="507" t="s">
        <v>3851</v>
      </c>
      <c r="M43" s="507" t="s">
        <v>3852</v>
      </c>
      <c r="N43" s="507" t="s">
        <v>3853</v>
      </c>
    </row>
    <row r="44" spans="1:14" ht="43.2" x14ac:dyDescent="0.3">
      <c r="A44" s="501" t="s">
        <v>3854</v>
      </c>
      <c r="B44" s="506" t="str">
        <f t="shared" si="2"/>
        <v>Validation VALEUR MANQUANTE/ERREUR/VALEUR INCOHERENTE/URL NON VALIDE</v>
      </c>
      <c r="C44" s="506" t="s">
        <v>3855</v>
      </c>
      <c r="D44" s="501" t="s">
        <v>3856</v>
      </c>
      <c r="E44" s="501" t="s">
        <v>3857</v>
      </c>
      <c r="F44" s="501" t="s">
        <v>3858</v>
      </c>
      <c r="G44" s="508" t="s">
        <v>3859</v>
      </c>
      <c r="H44" s="508" t="s">
        <v>3860</v>
      </c>
      <c r="I44" s="2" t="s">
        <v>3861</v>
      </c>
      <c r="J44" s="507" t="s">
        <v>3862</v>
      </c>
      <c r="K44" s="507" t="s">
        <v>3863</v>
      </c>
      <c r="L44" s="507" t="s">
        <v>3864</v>
      </c>
      <c r="M44" s="507" t="s">
        <v>3865</v>
      </c>
      <c r="N44" s="507" t="s">
        <v>3866</v>
      </c>
    </row>
    <row r="45" spans="1:14" ht="57.6" x14ac:dyDescent="0.3">
      <c r="A45" s="501" t="s">
        <v>3867</v>
      </c>
      <c r="B45" s="506" t="str">
        <f t="shared" si="2"/>
        <v>Indique soit que les données sont saisies dans un format incorrect, soit que certaines informations manquent pour pouvoir correctement remplir les exigences de publication.</v>
      </c>
      <c r="C45" s="507" t="s">
        <v>3868</v>
      </c>
      <c r="D45" s="501" t="s">
        <v>3869</v>
      </c>
      <c r="E45" s="501" t="s">
        <v>3870</v>
      </c>
      <c r="F45" s="501" t="s">
        <v>3871</v>
      </c>
      <c r="G45" s="508" t="s">
        <v>3872</v>
      </c>
      <c r="H45" s="508" t="s">
        <v>3873</v>
      </c>
      <c r="I45" s="2" t="s">
        <v>3874</v>
      </c>
      <c r="J45" s="507" t="s">
        <v>3875</v>
      </c>
      <c r="K45" s="507" t="s">
        <v>3876</v>
      </c>
      <c r="L45" s="507" t="s">
        <v>3877</v>
      </c>
      <c r="M45" s="507" t="s">
        <v>3878</v>
      </c>
      <c r="N45" s="507" t="s">
        <v>3879</v>
      </c>
    </row>
    <row r="46" spans="1:14" x14ac:dyDescent="0.3">
      <c r="A46" s="501" t="s">
        <v>3880</v>
      </c>
      <c r="B46" s="506" t="str">
        <f t="shared" si="2"/>
        <v>Validation OK</v>
      </c>
      <c r="C46" s="507" t="s">
        <v>4</v>
      </c>
      <c r="D46" s="501" t="s">
        <v>3881</v>
      </c>
      <c r="E46" s="501" t="s">
        <v>3882</v>
      </c>
      <c r="F46" s="501" t="s">
        <v>4</v>
      </c>
      <c r="G46" s="508" t="s">
        <v>3883</v>
      </c>
      <c r="H46" s="508" t="s">
        <v>3884</v>
      </c>
      <c r="I46" s="2" t="s">
        <v>3885</v>
      </c>
      <c r="J46" s="507" t="s">
        <v>3886</v>
      </c>
      <c r="K46" s="507" t="s">
        <v>3887</v>
      </c>
      <c r="L46" s="507" t="s">
        <v>3888</v>
      </c>
      <c r="M46" s="507" t="s">
        <v>3889</v>
      </c>
      <c r="N46" s="507" t="s">
        <v>3890</v>
      </c>
    </row>
    <row r="47" spans="1:14" ht="57.6" x14ac:dyDescent="0.3">
      <c r="A47" s="501" t="s">
        <v>3891</v>
      </c>
      <c r="B47" s="506" t="str">
        <f t="shared" si="2"/>
        <v>Indique que la saisie des données est OK et que l'entreprise peut passer à la divulgation suivante.</v>
      </c>
      <c r="C47" s="507" t="s">
        <v>3892</v>
      </c>
      <c r="D47" s="501" t="s">
        <v>3893</v>
      </c>
      <c r="E47" s="501" t="s">
        <v>3894</v>
      </c>
      <c r="F47" s="501" t="s">
        <v>3895</v>
      </c>
      <c r="G47" s="508" t="s">
        <v>3896</v>
      </c>
      <c r="H47" s="508" t="s">
        <v>3897</v>
      </c>
      <c r="I47" s="2" t="s">
        <v>3898</v>
      </c>
      <c r="J47" s="507" t="s">
        <v>3899</v>
      </c>
      <c r="K47" s="507" t="s">
        <v>3900</v>
      </c>
      <c r="L47" s="507" t="s">
        <v>3901</v>
      </c>
      <c r="M47" s="507" t="s">
        <v>3902</v>
      </c>
      <c r="N47" s="507" t="s">
        <v>3903</v>
      </c>
    </row>
    <row r="48" spans="1:14" ht="28.8" x14ac:dyDescent="0.3">
      <c r="A48" s="501" t="s">
        <v>3904</v>
      </c>
      <c r="B48" s="506" t="str">
        <f t="shared" si="2"/>
        <v>Validation INFORMATIONS CLASSIFIÉES OU SENSIBLES</v>
      </c>
      <c r="C48" s="507" t="s">
        <v>3905</v>
      </c>
      <c r="D48" s="501" t="s">
        <v>3906</v>
      </c>
      <c r="E48" s="501" t="s">
        <v>3907</v>
      </c>
      <c r="F48" s="501" t="s">
        <v>3908</v>
      </c>
      <c r="G48" s="501" t="s">
        <v>3909</v>
      </c>
      <c r="H48" s="501" t="s">
        <v>3910</v>
      </c>
      <c r="I48" s="501" t="s">
        <v>3911</v>
      </c>
      <c r="J48" s="501" t="s">
        <v>3912</v>
      </c>
      <c r="K48" s="501" t="s">
        <v>3913</v>
      </c>
      <c r="L48" s="501" t="s">
        <v>3914</v>
      </c>
      <c r="M48" s="501" t="s">
        <v>3915</v>
      </c>
      <c r="N48" s="501" t="s">
        <v>3916</v>
      </c>
    </row>
    <row r="49" spans="1:14" ht="43.2" x14ac:dyDescent="0.3">
      <c r="A49" s="501" t="s">
        <v>3917</v>
      </c>
      <c r="B49" s="506" t="str">
        <f t="shared" si="2"/>
        <v>Indique que l’engagement a omis la saisie de données car elle est considérée comme classifiée ou sensible.</v>
      </c>
      <c r="C49" s="507" t="s">
        <v>3918</v>
      </c>
      <c r="D49" s="501" t="s">
        <v>3919</v>
      </c>
      <c r="E49" s="501" t="s">
        <v>3920</v>
      </c>
      <c r="F49" s="501" t="s">
        <v>3921</v>
      </c>
      <c r="G49" s="501" t="s">
        <v>3922</v>
      </c>
      <c r="H49" s="501" t="s">
        <v>3923</v>
      </c>
      <c r="I49" s="501" t="s">
        <v>3924</v>
      </c>
      <c r="J49" s="501" t="s">
        <v>3925</v>
      </c>
      <c r="K49" s="501" t="s">
        <v>3926</v>
      </c>
      <c r="L49" s="501" t="s">
        <v>3927</v>
      </c>
      <c r="M49" s="501" t="s">
        <v>3928</v>
      </c>
      <c r="N49" s="501" t="s">
        <v>3929</v>
      </c>
    </row>
    <row r="50" spans="1:14" x14ac:dyDescent="0.3">
      <c r="A50" s="501" t="s">
        <v>3930</v>
      </c>
      <c r="B50" s="506" t="str">
        <f t="shared" si="2"/>
        <v>Aucune valeur ne peut être saisie dans la cellule.</v>
      </c>
      <c r="C50" s="507" t="s">
        <v>3931</v>
      </c>
      <c r="D50" s="501" t="s">
        <v>3932</v>
      </c>
      <c r="E50" s="501" t="s">
        <v>3933</v>
      </c>
      <c r="F50" s="501" t="s">
        <v>3934</v>
      </c>
      <c r="G50" s="508" t="s">
        <v>3935</v>
      </c>
      <c r="H50" s="508" t="s">
        <v>3936</v>
      </c>
      <c r="I50" s="2" t="s">
        <v>3937</v>
      </c>
      <c r="J50" s="507" t="s">
        <v>3938</v>
      </c>
      <c r="K50" s="507" t="s">
        <v>3939</v>
      </c>
      <c r="L50" s="507" t="s">
        <v>3940</v>
      </c>
      <c r="M50" s="507" t="s">
        <v>3941</v>
      </c>
      <c r="N50" s="507" t="s">
        <v>3942</v>
      </c>
    </row>
    <row r="51" spans="1:14" ht="216" x14ac:dyDescent="0.3">
      <c r="A51" s="501" t="s">
        <v>3943</v>
      </c>
      <c r="B51" s="506" t="str">
        <f t="shared" si="2"/>
        <v>Les listes peuvent être déroulées à l’aide du bouton plus [+] situé à gauche. Si le nombre de lignes n’est pas suffisant, des lignes supplémentaires peuvent être ajoutées en cliquant avec le bouton droit sur la deuxième ligne et en sélectionnant « Insérer une ligne ».</v>
      </c>
      <c r="C51" s="507" t="s">
        <v>3944</v>
      </c>
      <c r="D51" s="501" t="s">
        <v>3945</v>
      </c>
      <c r="E51" s="501" t="s">
        <v>3946</v>
      </c>
      <c r="F51" s="501" t="s">
        <v>3947</v>
      </c>
      <c r="G51" s="508" t="s">
        <v>3948</v>
      </c>
      <c r="H51" s="508" t="s">
        <v>3949</v>
      </c>
      <c r="I51" s="2" t="s">
        <v>3950</v>
      </c>
      <c r="J51" s="507" t="s">
        <v>3951</v>
      </c>
      <c r="K51" s="507" t="s">
        <v>3952</v>
      </c>
      <c r="L51" s="507" t="s">
        <v>3953</v>
      </c>
      <c r="M51" s="507" t="s">
        <v>3954</v>
      </c>
      <c r="N51" s="507" t="s">
        <v>3955</v>
      </c>
    </row>
    <row r="52" spans="1:14" ht="201.6" x14ac:dyDescent="0.3">
      <c r="A52" s="501" t="s">
        <v>3956</v>
      </c>
      <c r="B52" s="506" t="str">
        <f t="shared" si="2"/>
        <v xml:space="preserve">L'EFRAG est financée par l'Union européenne dans le cadre du Programme pour le marché unique, auquel participent également les pays de l'EEE-AELE (Norvège, Islande et Liechtenstein), ainsi que le Kosovo. Les opinions et points de vue exprimés sont toutefois ceux de l’auteur ou des auteurs uniquement et ne reflètent pas nécessairement ceux de l'Union européenne, de la Commission européenne ou des pays participant au Programme pour le marché unique. Ni l'Union européenne, ni la Commission européenne, ni les pays participants au Programme pour le marché unique ne peuvent en être tenus responsables. © 2025 EFRAG – Tous droits réservés.
</v>
      </c>
      <c r="C52" s="507" t="s">
        <v>3957</v>
      </c>
      <c r="D52" s="501" t="s">
        <v>3958</v>
      </c>
      <c r="E52" s="501" t="s">
        <v>3959</v>
      </c>
      <c r="F52" s="501" t="s">
        <v>3960</v>
      </c>
      <c r="G52" s="508" t="s">
        <v>3961</v>
      </c>
      <c r="H52" s="508" t="s">
        <v>3962</v>
      </c>
      <c r="I52" s="2" t="s">
        <v>3963</v>
      </c>
      <c r="J52" s="507" t="s">
        <v>3964</v>
      </c>
      <c r="K52" s="507" t="s">
        <v>3965</v>
      </c>
      <c r="L52" s="507" t="s">
        <v>3966</v>
      </c>
      <c r="M52" s="507" t="s">
        <v>3967</v>
      </c>
      <c r="N52" s="507" t="s">
        <v>3968</v>
      </c>
    </row>
    <row r="53" spans="1:14" ht="72.599999999999994" thickBot="1" x14ac:dyDescent="0.35">
      <c r="A53" s="509" t="s">
        <v>3969</v>
      </c>
      <c r="B53" s="510" t="str">
        <f t="shared" si="2"/>
        <v>Les droits de reproduction et d'utilisation sont strictement limités. Pour plus de détails, veuillez contacter efragsecretariat@efrag.org</v>
      </c>
      <c r="C53" s="511" t="s">
        <v>3970</v>
      </c>
      <c r="D53" s="509" t="s">
        <v>3971</v>
      </c>
      <c r="E53" s="509" t="s">
        <v>3972</v>
      </c>
      <c r="F53" s="509" t="s">
        <v>3973</v>
      </c>
      <c r="G53" s="512" t="s">
        <v>3974</v>
      </c>
      <c r="H53" s="512" t="s">
        <v>3975</v>
      </c>
      <c r="I53" s="513" t="s">
        <v>3976</v>
      </c>
      <c r="J53" s="511" t="s">
        <v>3977</v>
      </c>
      <c r="K53" s="511" t="s">
        <v>3978</v>
      </c>
      <c r="L53" s="511" t="s">
        <v>3979</v>
      </c>
      <c r="M53" s="511" t="s">
        <v>3980</v>
      </c>
      <c r="N53" s="511" t="s">
        <v>3981</v>
      </c>
    </row>
    <row r="54" spans="1:14" ht="57.6" x14ac:dyDescent="0.3">
      <c r="A54" s="501" t="s">
        <v>3982</v>
      </c>
      <c r="B54" s="506" t="str">
        <f>INDEX(C54:N54,MATCH(template_selected_display_language,$C$3:$N$3,0))</f>
        <v>Remplir les cases ci-dessous remplira automatiquement la liste des divulgations omises dans B1 (de la ligne 123 à la 172 dans la fiche d’information générale)</v>
      </c>
      <c r="C54" s="501" t="s">
        <v>3983</v>
      </c>
      <c r="D54" s="501" t="s">
        <v>3984</v>
      </c>
      <c r="E54" s="501" t="s">
        <v>3985</v>
      </c>
      <c r="F54" s="501" t="s">
        <v>3986</v>
      </c>
      <c r="G54" s="501" t="s">
        <v>3987</v>
      </c>
      <c r="H54" s="501" t="s">
        <v>3988</v>
      </c>
      <c r="I54" s="501" t="s">
        <v>3989</v>
      </c>
      <c r="J54" s="501" t="s">
        <v>3990</v>
      </c>
      <c r="K54" s="501" t="s">
        <v>3991</v>
      </c>
      <c r="L54" s="501" t="s">
        <v>3992</v>
      </c>
      <c r="M54" s="501" t="s">
        <v>3993</v>
      </c>
      <c r="N54" s="501" t="s">
        <v>3994</v>
      </c>
    </row>
    <row r="55" spans="1:14" ht="43.2" x14ac:dyDescent="0.3">
      <c r="A55" s="501" t="s">
        <v>3995</v>
      </c>
      <c r="B55" s="506" t="str">
        <f t="shared" si="2"/>
        <v xml:space="preserve">Statut global de validation
</v>
      </c>
      <c r="C55" s="501" t="s">
        <v>3996</v>
      </c>
      <c r="D55" s="501" t="s">
        <v>3997</v>
      </c>
      <c r="E55" s="501" t="s">
        <v>3998</v>
      </c>
      <c r="F55" s="501" t="s">
        <v>3999</v>
      </c>
      <c r="G55" s="508" t="s">
        <v>4000</v>
      </c>
      <c r="H55" s="508" t="s">
        <v>4001</v>
      </c>
      <c r="I55" s="2" t="s">
        <v>4002</v>
      </c>
      <c r="J55" s="507" t="s">
        <v>4003</v>
      </c>
      <c r="K55" s="507" t="s">
        <v>4004</v>
      </c>
      <c r="L55" s="507" t="s">
        <v>4005</v>
      </c>
      <c r="M55" s="507" t="s">
        <v>4006</v>
      </c>
      <c r="N55" s="507" t="s">
        <v>4007</v>
      </c>
    </row>
    <row r="56" spans="1:14" x14ac:dyDescent="0.3">
      <c r="A56" s="501" t="s">
        <v>4008</v>
      </c>
      <c r="B56" s="506" t="str">
        <f t="shared" si="2"/>
        <v>Table des matières</v>
      </c>
      <c r="C56" s="501" t="s">
        <v>3446</v>
      </c>
      <c r="D56" s="501" t="s">
        <v>4009</v>
      </c>
      <c r="E56" s="501" t="s">
        <v>4010</v>
      </c>
      <c r="F56" s="501" t="s">
        <v>3449</v>
      </c>
      <c r="G56" s="508" t="s">
        <v>3450</v>
      </c>
      <c r="H56" s="508" t="s">
        <v>4011</v>
      </c>
      <c r="I56" s="2" t="s">
        <v>3452</v>
      </c>
      <c r="J56" s="507" t="s">
        <v>3453</v>
      </c>
      <c r="K56" s="507" t="s">
        <v>3454</v>
      </c>
      <c r="L56" s="507" t="s">
        <v>3455</v>
      </c>
      <c r="M56" s="507" t="s">
        <v>3456</v>
      </c>
      <c r="N56" s="507" t="s">
        <v>3455</v>
      </c>
    </row>
    <row r="57" spans="1:14" x14ac:dyDescent="0.3">
      <c r="A57" s="501" t="s">
        <v>4012</v>
      </c>
      <c r="B57" s="506" t="str">
        <f t="shared" si="2"/>
        <v>Informations classifiées ou sensibles</v>
      </c>
      <c r="C57" s="501" t="s">
        <v>4013</v>
      </c>
      <c r="D57" s="501" t="s">
        <v>4014</v>
      </c>
      <c r="E57" s="501" t="s">
        <v>4015</v>
      </c>
      <c r="F57" s="501" t="s">
        <v>4016</v>
      </c>
      <c r="G57" s="501" t="s">
        <v>4017</v>
      </c>
      <c r="H57" s="501" t="s">
        <v>4018</v>
      </c>
      <c r="I57" s="501" t="s">
        <v>4019</v>
      </c>
      <c r="J57" s="501" t="s">
        <v>4020</v>
      </c>
      <c r="K57" s="501" t="s">
        <v>4021</v>
      </c>
      <c r="L57" s="501" t="s">
        <v>4022</v>
      </c>
      <c r="M57" s="501" t="s">
        <v>4023</v>
      </c>
      <c r="N57" s="501" t="s">
        <v>4024</v>
      </c>
    </row>
    <row r="58" spans="1:14" ht="43.2" x14ac:dyDescent="0.3">
      <c r="A58" s="501" t="s">
        <v>4025</v>
      </c>
      <c r="B58" s="506" t="str">
        <f t="shared" si="2"/>
        <v>Le regroupement des contenus suit le cadre du format</v>
      </c>
      <c r="C58" s="501" t="s">
        <v>4026</v>
      </c>
      <c r="D58" s="501" t="s">
        <v>4027</v>
      </c>
      <c r="E58" s="501" t="s">
        <v>4028</v>
      </c>
      <c r="F58" s="501" t="s">
        <v>4029</v>
      </c>
      <c r="G58" s="508" t="s">
        <v>4030</v>
      </c>
      <c r="H58" s="508" t="s">
        <v>4031</v>
      </c>
      <c r="I58" s="2" t="s">
        <v>4032</v>
      </c>
      <c r="J58" s="507" t="s">
        <v>4033</v>
      </c>
      <c r="K58" s="507" t="s">
        <v>4034</v>
      </c>
      <c r="L58" s="507" t="s">
        <v>4035</v>
      </c>
      <c r="M58" s="507" t="s">
        <v>4036</v>
      </c>
      <c r="N58" s="507" t="s">
        <v>4037</v>
      </c>
    </row>
    <row r="59" spans="1:14" x14ac:dyDescent="0.3">
      <c r="A59" s="501" t="s">
        <v>4038</v>
      </c>
      <c r="B59" s="506" t="str">
        <f t="shared" si="2"/>
        <v>Statut de validation du contenu spécifique</v>
      </c>
      <c r="C59" s="501" t="s">
        <v>4039</v>
      </c>
      <c r="D59" s="501" t="s">
        <v>4040</v>
      </c>
      <c r="E59" s="501" t="s">
        <v>4041</v>
      </c>
      <c r="F59" s="501" t="s">
        <v>4042</v>
      </c>
      <c r="G59" s="508" t="s">
        <v>4043</v>
      </c>
      <c r="H59" s="508" t="s">
        <v>4044</v>
      </c>
      <c r="I59" s="2" t="s">
        <v>4045</v>
      </c>
      <c r="J59" s="507" t="s">
        <v>4046</v>
      </c>
      <c r="K59" s="507" t="s">
        <v>4047</v>
      </c>
      <c r="L59" s="507" t="s">
        <v>4048</v>
      </c>
      <c r="M59" s="507" t="s">
        <v>4049</v>
      </c>
      <c r="N59" s="507" t="s">
        <v>4050</v>
      </c>
    </row>
    <row r="60" spans="1:14" ht="43.2" x14ac:dyDescent="0.3">
      <c r="A60" s="501" t="s">
        <v>4051</v>
      </c>
      <c r="B60" s="506" t="str">
        <f t="shared" si="2"/>
        <v>Informations générales</v>
      </c>
      <c r="C60" s="501" t="s">
        <v>4052</v>
      </c>
      <c r="D60" s="501" t="s">
        <v>4053</v>
      </c>
      <c r="E60" s="501" t="s">
        <v>4054</v>
      </c>
      <c r="F60" s="501" t="s">
        <v>4055</v>
      </c>
      <c r="G60" s="508" t="s">
        <v>4056</v>
      </c>
      <c r="H60" s="508" t="s">
        <v>4057</v>
      </c>
      <c r="I60" s="2" t="s">
        <v>4058</v>
      </c>
      <c r="J60" s="507" t="s">
        <v>4059</v>
      </c>
      <c r="K60" s="507" t="s">
        <v>4060</v>
      </c>
      <c r="L60" s="507" t="s">
        <v>4061</v>
      </c>
      <c r="M60" s="507" t="s">
        <v>4062</v>
      </c>
      <c r="N60" s="507" t="s">
        <v>4063</v>
      </c>
    </row>
    <row r="61" spans="1:14" ht="28.8" x14ac:dyDescent="0.3">
      <c r="A61" s="501" t="s">
        <v>4064</v>
      </c>
      <c r="B61" s="506" t="str">
        <f t="shared" si="2"/>
        <v>Informations sur le rapport nécessaires pour XBRL</v>
      </c>
      <c r="C61" s="501" t="s">
        <v>4065</v>
      </c>
      <c r="D61" s="501" t="s">
        <v>4066</v>
      </c>
      <c r="E61" s="501" t="s">
        <v>4067</v>
      </c>
      <c r="F61" s="501" t="s">
        <v>4068</v>
      </c>
      <c r="G61" s="508" t="s">
        <v>4069</v>
      </c>
      <c r="H61" s="508" t="s">
        <v>4070</v>
      </c>
      <c r="I61" s="2" t="s">
        <v>4071</v>
      </c>
      <c r="J61" s="507" t="s">
        <v>4072</v>
      </c>
      <c r="K61" s="507" t="s">
        <v>4073</v>
      </c>
      <c r="L61" s="507" t="s">
        <v>4074</v>
      </c>
      <c r="M61" s="507" t="s">
        <v>4075</v>
      </c>
      <c r="N61" s="507" t="s">
        <v>4076</v>
      </c>
    </row>
    <row r="62" spans="1:14" ht="72" x14ac:dyDescent="0.3">
      <c r="A62" s="501" t="s">
        <v>4077</v>
      </c>
      <c r="B62" s="506" t="str">
        <f t="shared" si="2"/>
        <v>Informations sur la période de reporting précédente</v>
      </c>
      <c r="C62" s="501" t="s">
        <v>4078</v>
      </c>
      <c r="D62" s="501" t="s">
        <v>4079</v>
      </c>
      <c r="E62" s="501" t="s">
        <v>4080</v>
      </c>
      <c r="F62" s="501" t="s">
        <v>4081</v>
      </c>
      <c r="G62" s="508" t="s">
        <v>4082</v>
      </c>
      <c r="H62" s="508" t="s">
        <v>4083</v>
      </c>
      <c r="I62" s="2" t="s">
        <v>4084</v>
      </c>
      <c r="J62" s="507" t="s">
        <v>4085</v>
      </c>
      <c r="K62" s="507" t="s">
        <v>4086</v>
      </c>
      <c r="L62" s="507" t="s">
        <v>4087</v>
      </c>
      <c r="M62" s="507" t="s">
        <v>4088</v>
      </c>
      <c r="N62" s="507" t="s">
        <v>4089</v>
      </c>
    </row>
    <row r="63" spans="1:14" x14ac:dyDescent="0.3">
      <c r="A63" s="501" t="s">
        <v>4090</v>
      </c>
      <c r="B63" s="506" t="str">
        <f t="shared" si="2"/>
        <v>Module de base</v>
      </c>
      <c r="C63" s="501" t="s">
        <v>3767</v>
      </c>
      <c r="D63" s="501" t="s">
        <v>3771</v>
      </c>
      <c r="E63" s="501" t="s">
        <v>3769</v>
      </c>
      <c r="F63" s="501" t="s">
        <v>4091</v>
      </c>
      <c r="G63" s="508" t="s">
        <v>3771</v>
      </c>
      <c r="H63" s="508" t="s">
        <v>3772</v>
      </c>
      <c r="I63" s="2" t="s">
        <v>3773</v>
      </c>
      <c r="J63" s="507" t="s">
        <v>3774</v>
      </c>
      <c r="K63" s="507" t="s">
        <v>3775</v>
      </c>
      <c r="L63" s="507" t="s">
        <v>3776</v>
      </c>
      <c r="M63" s="507" t="s">
        <v>3777</v>
      </c>
      <c r="N63" s="507" t="s">
        <v>3778</v>
      </c>
    </row>
    <row r="64" spans="1:14" x14ac:dyDescent="0.3">
      <c r="A64" s="501" t="s">
        <v>4092</v>
      </c>
      <c r="B64" s="506" t="str">
        <f t="shared" si="2"/>
        <v>B1 – Base de préparation</v>
      </c>
      <c r="C64" s="501" t="s">
        <v>4093</v>
      </c>
      <c r="D64" s="501" t="s">
        <v>4094</v>
      </c>
      <c r="E64" s="501" t="s">
        <v>4095</v>
      </c>
      <c r="F64" s="501" t="s">
        <v>4096</v>
      </c>
      <c r="G64" s="508" t="s">
        <v>4097</v>
      </c>
      <c r="H64" s="508" t="s">
        <v>4098</v>
      </c>
      <c r="I64" s="2" t="s">
        <v>4099</v>
      </c>
      <c r="J64" s="507" t="s">
        <v>4100</v>
      </c>
      <c r="K64" s="507" t="s">
        <v>4101</v>
      </c>
      <c r="L64" s="507" t="s">
        <v>4102</v>
      </c>
      <c r="M64" s="507" t="s">
        <v>4103</v>
      </c>
      <c r="N64" s="507" t="s">
        <v>4104</v>
      </c>
    </row>
    <row r="65" spans="1:14" ht="43.2" x14ac:dyDescent="0.3">
      <c r="A65" s="501" t="s">
        <v>4105</v>
      </c>
      <c r="B65" s="506" t="str">
        <f t="shared" si="2"/>
        <v xml:space="preserve">B2 – Pratiques, politiques et initiatives futures en vue de la transition vers une économie plus durable </v>
      </c>
      <c r="C65" s="2" t="s">
        <v>4106</v>
      </c>
      <c r="D65" s="2" t="s">
        <v>4107</v>
      </c>
      <c r="E65" s="2" t="s">
        <v>4108</v>
      </c>
      <c r="F65" s="2" t="s">
        <v>4109</v>
      </c>
      <c r="G65" s="2" t="s">
        <v>4110</v>
      </c>
      <c r="H65" s="2" t="s">
        <v>4111</v>
      </c>
      <c r="I65" s="2" t="s">
        <v>4112</v>
      </c>
      <c r="J65" s="2" t="s">
        <v>4113</v>
      </c>
      <c r="K65" s="2" t="s">
        <v>4114</v>
      </c>
      <c r="L65" s="2" t="s">
        <v>4115</v>
      </c>
      <c r="M65" s="2" t="s">
        <v>4116</v>
      </c>
      <c r="N65" s="2" t="s">
        <v>4117</v>
      </c>
    </row>
    <row r="66" spans="1:14" x14ac:dyDescent="0.3">
      <c r="A66" s="501" t="s">
        <v>4118</v>
      </c>
      <c r="B66" s="506" t="str">
        <f t="shared" ref="B66:B105" si="3">INDEX(C66:N66,MATCH(template_selected_display_language,$C$3:$N$3,0))</f>
        <v>Informations environnementales</v>
      </c>
      <c r="C66" s="501" t="s">
        <v>4119</v>
      </c>
      <c r="D66" s="501" t="s">
        <v>4120</v>
      </c>
      <c r="E66" s="501" t="s">
        <v>4121</v>
      </c>
      <c r="F66" s="501" t="s">
        <v>4122</v>
      </c>
      <c r="G66" s="508" t="s">
        <v>4123</v>
      </c>
      <c r="H66" s="508" t="s">
        <v>4124</v>
      </c>
      <c r="I66" s="2" t="s">
        <v>4125</v>
      </c>
      <c r="J66" s="507" t="s">
        <v>4126</v>
      </c>
      <c r="K66" s="507" t="s">
        <v>4127</v>
      </c>
      <c r="L66" s="507" t="s">
        <v>4128</v>
      </c>
      <c r="M66" s="507" t="s">
        <v>4129</v>
      </c>
      <c r="N66" s="507" t="s">
        <v>4130</v>
      </c>
    </row>
    <row r="67" spans="1:14" ht="28.8" x14ac:dyDescent="0.3">
      <c r="A67" s="501" t="s">
        <v>4131</v>
      </c>
      <c r="B67" s="506" t="str">
        <f t="shared" si="3"/>
        <v>B3 – Énergie et émissions de gaz à effet de serre</v>
      </c>
      <c r="C67" s="501" t="s">
        <v>4132</v>
      </c>
      <c r="D67" s="501" t="s">
        <v>4133</v>
      </c>
      <c r="E67" s="501" t="s">
        <v>4134</v>
      </c>
      <c r="F67" s="501" t="s">
        <v>4135</v>
      </c>
      <c r="G67" s="508" t="s">
        <v>4136</v>
      </c>
      <c r="H67" s="508" t="s">
        <v>4137</v>
      </c>
      <c r="I67" s="2" t="s">
        <v>4138</v>
      </c>
      <c r="J67" s="507" t="s">
        <v>4139</v>
      </c>
      <c r="K67" s="507" t="s">
        <v>4140</v>
      </c>
      <c r="L67" s="507" t="s">
        <v>4141</v>
      </c>
      <c r="M67" s="507" t="s">
        <v>4142</v>
      </c>
      <c r="N67" s="507" t="s">
        <v>4143</v>
      </c>
    </row>
    <row r="68" spans="1:14" x14ac:dyDescent="0.3">
      <c r="A68" s="501" t="s">
        <v>4144</v>
      </c>
      <c r="B68" s="506" t="str">
        <f t="shared" si="3"/>
        <v>B4 - Pollution de l’air, de l’eau et des sols</v>
      </c>
      <c r="C68" s="501" t="s">
        <v>4145</v>
      </c>
      <c r="D68" s="501" t="s">
        <v>4146</v>
      </c>
      <c r="E68" s="501" t="s">
        <v>4147</v>
      </c>
      <c r="F68" s="501" t="s">
        <v>4148</v>
      </c>
      <c r="G68" s="508" t="s">
        <v>4149</v>
      </c>
      <c r="H68" s="508" t="s">
        <v>4150</v>
      </c>
      <c r="I68" s="2" t="s">
        <v>4151</v>
      </c>
      <c r="J68" s="507" t="s">
        <v>4152</v>
      </c>
      <c r="K68" s="507" t="s">
        <v>4153</v>
      </c>
      <c r="L68" s="507" t="s">
        <v>4154</v>
      </c>
      <c r="M68" s="507" t="s">
        <v>4155</v>
      </c>
      <c r="N68" s="507" t="s">
        <v>4156</v>
      </c>
    </row>
    <row r="69" spans="1:14" ht="43.2" x14ac:dyDescent="0.3">
      <c r="A69" s="501" t="s">
        <v>4157</v>
      </c>
      <c r="B69" s="506" t="str">
        <f t="shared" si="3"/>
        <v xml:space="preserve">B5 – Biodiversité
</v>
      </c>
      <c r="C69" s="501" t="s">
        <v>4158</v>
      </c>
      <c r="D69" s="501" t="s">
        <v>4159</v>
      </c>
      <c r="E69" s="501" t="s">
        <v>4160</v>
      </c>
      <c r="F69" s="501" t="s">
        <v>4161</v>
      </c>
      <c r="G69" s="508" t="s">
        <v>4162</v>
      </c>
      <c r="H69" s="508" t="s">
        <v>4163</v>
      </c>
      <c r="I69" s="2" t="s">
        <v>4164</v>
      </c>
      <c r="J69" s="507" t="s">
        <v>4165</v>
      </c>
      <c r="K69" s="507" t="s">
        <v>4166</v>
      </c>
      <c r="L69" s="507" t="s">
        <v>4167</v>
      </c>
      <c r="M69" s="507" t="s">
        <v>4168</v>
      </c>
      <c r="N69" s="507" t="s">
        <v>4169</v>
      </c>
    </row>
    <row r="70" spans="1:14" x14ac:dyDescent="0.3">
      <c r="A70" s="501" t="s">
        <v>4170</v>
      </c>
      <c r="B70" s="506" t="str">
        <f t="shared" si="3"/>
        <v>B6 – Eau</v>
      </c>
      <c r="C70" s="501" t="s">
        <v>4171</v>
      </c>
      <c r="D70" s="501" t="s">
        <v>4172</v>
      </c>
      <c r="E70" s="501" t="s">
        <v>4173</v>
      </c>
      <c r="F70" s="501" t="s">
        <v>4174</v>
      </c>
      <c r="G70" s="508" t="s">
        <v>4175</v>
      </c>
      <c r="H70" s="508" t="s">
        <v>4176</v>
      </c>
      <c r="I70" s="2" t="s">
        <v>4177</v>
      </c>
      <c r="J70" s="507" t="s">
        <v>4178</v>
      </c>
      <c r="K70" s="507" t="s">
        <v>4179</v>
      </c>
      <c r="L70" s="507" t="s">
        <v>4180</v>
      </c>
      <c r="M70" s="507" t="s">
        <v>4181</v>
      </c>
      <c r="N70" s="507" t="s">
        <v>4182</v>
      </c>
    </row>
    <row r="71" spans="1:14" ht="54" customHeight="1" x14ac:dyDescent="0.3">
      <c r="A71" s="501" t="s">
        <v>4183</v>
      </c>
      <c r="B71" s="506" t="str">
        <f t="shared" si="3"/>
        <v>B7 - Utilisation des ressources, économie circulaire et gestion des déchets</v>
      </c>
      <c r="C71" s="501" t="s">
        <v>4184</v>
      </c>
      <c r="D71" s="501" t="s">
        <v>4185</v>
      </c>
      <c r="E71" s="501" t="s">
        <v>4186</v>
      </c>
      <c r="F71" s="501" t="s">
        <v>4187</v>
      </c>
      <c r="G71" s="508" t="s">
        <v>4188</v>
      </c>
      <c r="H71" s="508" t="s">
        <v>4189</v>
      </c>
      <c r="I71" s="2" t="s">
        <v>4190</v>
      </c>
      <c r="J71" s="507" t="s">
        <v>4191</v>
      </c>
      <c r="K71" s="507" t="s">
        <v>4192</v>
      </c>
      <c r="L71" s="507" t="s">
        <v>4193</v>
      </c>
      <c r="M71" s="507" t="s">
        <v>4194</v>
      </c>
      <c r="N71" s="507" t="s">
        <v>4195</v>
      </c>
    </row>
    <row r="72" spans="1:14" x14ac:dyDescent="0.3">
      <c r="A72" s="501" t="s">
        <v>4196</v>
      </c>
      <c r="B72" s="506" t="str">
        <f t="shared" si="3"/>
        <v>Informations sociales</v>
      </c>
      <c r="C72" s="501" t="s">
        <v>4197</v>
      </c>
      <c r="D72" s="501" t="s">
        <v>4198</v>
      </c>
      <c r="E72" s="501" t="s">
        <v>4199</v>
      </c>
      <c r="F72" s="501" t="s">
        <v>4200</v>
      </c>
      <c r="G72" s="508" t="s">
        <v>4201</v>
      </c>
      <c r="H72" s="508" t="s">
        <v>4202</v>
      </c>
      <c r="I72" s="2" t="s">
        <v>4203</v>
      </c>
      <c r="J72" s="507" t="s">
        <v>4204</v>
      </c>
      <c r="K72" s="507" t="s">
        <v>4205</v>
      </c>
      <c r="L72" s="507" t="s">
        <v>4206</v>
      </c>
      <c r="M72" s="507" t="s">
        <v>4207</v>
      </c>
      <c r="N72" s="507" t="s">
        <v>4208</v>
      </c>
    </row>
    <row r="73" spans="1:14" ht="28.8" x14ac:dyDescent="0.3">
      <c r="A73" s="501" t="s">
        <v>4209</v>
      </c>
      <c r="B73" s="506" t="str">
        <f t="shared" si="3"/>
        <v>B8 – Personnel – Caractéristiques générales</v>
      </c>
      <c r="C73" s="501" t="s">
        <v>4210</v>
      </c>
      <c r="D73" s="501" t="s">
        <v>4211</v>
      </c>
      <c r="E73" s="501" t="s">
        <v>4212</v>
      </c>
      <c r="F73" s="501" t="s">
        <v>4213</v>
      </c>
      <c r="G73" s="508" t="s">
        <v>4214</v>
      </c>
      <c r="H73" s="508" t="s">
        <v>4215</v>
      </c>
      <c r="I73" s="2" t="s">
        <v>4216</v>
      </c>
      <c r="J73" s="507" t="s">
        <v>4217</v>
      </c>
      <c r="K73" s="507" t="s">
        <v>4218</v>
      </c>
      <c r="L73" s="507" t="s">
        <v>4219</v>
      </c>
      <c r="M73" s="507" t="s">
        <v>4220</v>
      </c>
      <c r="N73" s="507" t="s">
        <v>4221</v>
      </c>
    </row>
    <row r="74" spans="1:14" x14ac:dyDescent="0.3">
      <c r="A74" s="501" t="s">
        <v>4222</v>
      </c>
      <c r="B74" s="506" t="str">
        <f t="shared" si="3"/>
        <v>B9 – Personnel – Santé et sécurité</v>
      </c>
      <c r="C74" s="501" t="s">
        <v>4223</v>
      </c>
      <c r="D74" s="501" t="s">
        <v>4224</v>
      </c>
      <c r="E74" s="501" t="s">
        <v>4225</v>
      </c>
      <c r="F74" s="501" t="s">
        <v>4226</v>
      </c>
      <c r="G74" s="508" t="s">
        <v>4227</v>
      </c>
      <c r="H74" s="508" t="s">
        <v>4228</v>
      </c>
      <c r="I74" s="2" t="s">
        <v>4229</v>
      </c>
      <c r="J74" s="507" t="s">
        <v>4230</v>
      </c>
      <c r="K74" s="507" t="s">
        <v>4231</v>
      </c>
      <c r="L74" s="507" t="s">
        <v>4232</v>
      </c>
      <c r="M74" s="507" t="s">
        <v>4233</v>
      </c>
      <c r="N74" s="507" t="s">
        <v>4234</v>
      </c>
    </row>
    <row r="75" spans="1:14" ht="57.6" x14ac:dyDescent="0.3">
      <c r="A75" s="501" t="s">
        <v>4235</v>
      </c>
      <c r="B75" s="506" t="str">
        <f t="shared" si="3"/>
        <v>B10 –   Personnel – Rémunération, négociation collective et formation</v>
      </c>
      <c r="C75" s="501" t="s">
        <v>4236</v>
      </c>
      <c r="D75" s="501" t="s">
        <v>4237</v>
      </c>
      <c r="E75" s="501" t="s">
        <v>4238</v>
      </c>
      <c r="F75" s="501" t="s">
        <v>4239</v>
      </c>
      <c r="G75" s="508" t="s">
        <v>4240</v>
      </c>
      <c r="H75" s="508" t="s">
        <v>4241</v>
      </c>
      <c r="I75" s="2" t="s">
        <v>4242</v>
      </c>
      <c r="J75" s="507" t="s">
        <v>4243</v>
      </c>
      <c r="K75" s="507" t="s">
        <v>4244</v>
      </c>
      <c r="L75" s="507" t="s">
        <v>4245</v>
      </c>
      <c r="M75" s="507" t="s">
        <v>4246</v>
      </c>
      <c r="N75" s="507" t="s">
        <v>4247</v>
      </c>
    </row>
    <row r="76" spans="1:14" x14ac:dyDescent="0.3">
      <c r="A76" s="501" t="s">
        <v>4248</v>
      </c>
      <c r="B76" s="506" t="str">
        <f t="shared" si="3"/>
        <v>Informations de gouvernance</v>
      </c>
      <c r="C76" s="501" t="s">
        <v>4249</v>
      </c>
      <c r="D76" s="501" t="s">
        <v>4250</v>
      </c>
      <c r="E76" s="501" t="s">
        <v>4251</v>
      </c>
      <c r="F76" s="501" t="s">
        <v>4252</v>
      </c>
      <c r="G76" s="508" t="s">
        <v>4253</v>
      </c>
      <c r="H76" s="508" t="s">
        <v>4254</v>
      </c>
      <c r="I76" s="2" t="s">
        <v>4255</v>
      </c>
      <c r="J76" s="507" t="s">
        <v>4256</v>
      </c>
      <c r="K76" s="507" t="s">
        <v>4257</v>
      </c>
      <c r="L76" s="507" t="s">
        <v>4258</v>
      </c>
      <c r="M76" s="507" t="s">
        <v>4259</v>
      </c>
      <c r="N76" s="507" t="s">
        <v>4260</v>
      </c>
    </row>
    <row r="77" spans="1:14" ht="43.2" x14ac:dyDescent="0.3">
      <c r="A77" s="501" t="s">
        <v>4261</v>
      </c>
      <c r="B77" s="506" t="str">
        <f t="shared" si="3"/>
        <v>B11 – Condamnations et amendes pour corruption et pots-de-vin</v>
      </c>
      <c r="C77" s="501" t="s">
        <v>4262</v>
      </c>
      <c r="D77" s="501" t="s">
        <v>4263</v>
      </c>
      <c r="E77" s="501" t="s">
        <v>4264</v>
      </c>
      <c r="F77" s="501" t="s">
        <v>4265</v>
      </c>
      <c r="G77" s="508" t="s">
        <v>4266</v>
      </c>
      <c r="H77" s="508" t="s">
        <v>4267</v>
      </c>
      <c r="I77" s="2" t="s">
        <v>4268</v>
      </c>
      <c r="J77" s="507" t="s">
        <v>4269</v>
      </c>
      <c r="K77" s="507" t="s">
        <v>4270</v>
      </c>
      <c r="L77" s="507" t="s">
        <v>4271</v>
      </c>
      <c r="M77" s="507" t="s">
        <v>4272</v>
      </c>
      <c r="N77" s="507" t="s">
        <v>4273</v>
      </c>
    </row>
    <row r="78" spans="1:14" x14ac:dyDescent="0.3">
      <c r="A78" s="501" t="s">
        <v>4274</v>
      </c>
      <c r="B78" s="506" t="str">
        <f t="shared" si="3"/>
        <v>Module complet</v>
      </c>
      <c r="C78" s="501" t="s">
        <v>3793</v>
      </c>
      <c r="D78" s="501" t="s">
        <v>4275</v>
      </c>
      <c r="E78" s="501" t="s">
        <v>3795</v>
      </c>
      <c r="F78" s="501" t="s">
        <v>3783</v>
      </c>
      <c r="G78" s="508" t="s">
        <v>3797</v>
      </c>
      <c r="H78" s="508" t="s">
        <v>3798</v>
      </c>
      <c r="I78" s="2" t="s">
        <v>4276</v>
      </c>
      <c r="J78" s="507" t="s">
        <v>4277</v>
      </c>
      <c r="K78" s="507" t="s">
        <v>3801</v>
      </c>
      <c r="L78" s="507" t="s">
        <v>4278</v>
      </c>
      <c r="M78" s="507" t="s">
        <v>3802</v>
      </c>
      <c r="N78" s="507" t="s">
        <v>3803</v>
      </c>
    </row>
    <row r="79" spans="1:14" ht="57.6" x14ac:dyDescent="0.3">
      <c r="A79" s="501" t="s">
        <v>4279</v>
      </c>
      <c r="B79" s="506" t="str">
        <f t="shared" si="3"/>
        <v xml:space="preserve">C1 – Stratégie : modèle économique et durabilité – initiatives associées
</v>
      </c>
      <c r="C79" s="501" t="s">
        <v>4280</v>
      </c>
      <c r="D79" s="501" t="s">
        <v>4281</v>
      </c>
      <c r="E79" s="501" t="s">
        <v>4282</v>
      </c>
      <c r="F79" s="501" t="s">
        <v>4283</v>
      </c>
      <c r="G79" s="508" t="s">
        <v>4284</v>
      </c>
      <c r="H79" s="508" t="s">
        <v>4285</v>
      </c>
      <c r="I79" s="2" t="s">
        <v>4286</v>
      </c>
      <c r="J79" s="507" t="s">
        <v>4287</v>
      </c>
      <c r="K79" s="507" t="s">
        <v>4288</v>
      </c>
      <c r="L79" s="507" t="s">
        <v>4289</v>
      </c>
      <c r="M79" s="507" t="s">
        <v>4290</v>
      </c>
      <c r="N79" s="507" t="s">
        <v>4291</v>
      </c>
    </row>
    <row r="80" spans="1:14" ht="43.2" x14ac:dyDescent="0.3">
      <c r="A80" s="501" t="s">
        <v>4292</v>
      </c>
      <c r="B80" s="506" t="str">
        <f t="shared" si="3"/>
        <v>C2 – Description des pratiques, politiques et initiatives futures en vue de la transition vers une économie plus durable</v>
      </c>
      <c r="C80" s="501" t="s">
        <v>4293</v>
      </c>
      <c r="D80" s="501" t="s">
        <v>4294</v>
      </c>
      <c r="E80" s="501" t="s">
        <v>4295</v>
      </c>
      <c r="F80" s="501" t="s">
        <v>4296</v>
      </c>
      <c r="G80" s="508" t="s">
        <v>4297</v>
      </c>
      <c r="H80" s="508" t="s">
        <v>4298</v>
      </c>
      <c r="I80" s="2" t="s">
        <v>4299</v>
      </c>
      <c r="J80" s="507" t="s">
        <v>4300</v>
      </c>
      <c r="K80" s="507" t="s">
        <v>4301</v>
      </c>
      <c r="L80" s="507" t="s">
        <v>4302</v>
      </c>
      <c r="M80" s="507" t="s">
        <v>4303</v>
      </c>
      <c r="N80" s="507" t="s">
        <v>4304</v>
      </c>
    </row>
    <row r="81" spans="1:14" ht="28.8" x14ac:dyDescent="0.3">
      <c r="A81" s="501" t="s">
        <v>4305</v>
      </c>
      <c r="B81" s="506" t="str">
        <f t="shared" si="3"/>
        <v>C3 –   Cibles de réduction des émissions de GES et transition climatique</v>
      </c>
      <c r="C81" s="501" t="s">
        <v>4306</v>
      </c>
      <c r="D81" s="501" t="s">
        <v>4307</v>
      </c>
      <c r="E81" s="501" t="s">
        <v>4308</v>
      </c>
      <c r="F81" s="501" t="s">
        <v>4309</v>
      </c>
      <c r="G81" s="508" t="s">
        <v>4310</v>
      </c>
      <c r="H81" s="508" t="s">
        <v>4311</v>
      </c>
      <c r="I81" s="2" t="s">
        <v>4312</v>
      </c>
      <c r="J81" s="507" t="s">
        <v>4313</v>
      </c>
      <c r="K81" s="507" t="s">
        <v>4314</v>
      </c>
      <c r="L81" s="507" t="s">
        <v>4315</v>
      </c>
      <c r="M81" s="507" t="s">
        <v>4316</v>
      </c>
      <c r="N81" s="507" t="s">
        <v>4317</v>
      </c>
    </row>
    <row r="82" spans="1:14" x14ac:dyDescent="0.3">
      <c r="A82" s="501" t="s">
        <v>4318</v>
      </c>
      <c r="B82" s="506" t="str">
        <f t="shared" si="3"/>
        <v>C4 – Risques climatiques</v>
      </c>
      <c r="C82" s="501" t="s">
        <v>4319</v>
      </c>
      <c r="D82" s="501" t="s">
        <v>4320</v>
      </c>
      <c r="E82" s="501" t="s">
        <v>4321</v>
      </c>
      <c r="F82" s="501" t="s">
        <v>4322</v>
      </c>
      <c r="G82" s="508" t="s">
        <v>4323</v>
      </c>
      <c r="H82" s="508" t="s">
        <v>4324</v>
      </c>
      <c r="I82" s="2" t="s">
        <v>4325</v>
      </c>
      <c r="J82" s="507" t="s">
        <v>4326</v>
      </c>
      <c r="K82" s="507" t="s">
        <v>4327</v>
      </c>
      <c r="L82" s="507" t="s">
        <v>4328</v>
      </c>
      <c r="M82" s="507" t="s">
        <v>4329</v>
      </c>
      <c r="N82" s="507" t="s">
        <v>4330</v>
      </c>
    </row>
    <row r="83" spans="1:14" ht="28.8" x14ac:dyDescent="0.3">
      <c r="A83" s="501" t="s">
        <v>4331</v>
      </c>
      <c r="B83" s="506" t="str">
        <f t="shared" si="3"/>
        <v>C5 – Caractéristiques supplémentaires (générales) du personnel</v>
      </c>
      <c r="C83" s="501" t="s">
        <v>4332</v>
      </c>
      <c r="D83" s="501" t="s">
        <v>4333</v>
      </c>
      <c r="E83" s="501" t="s">
        <v>4334</v>
      </c>
      <c r="F83" s="501" t="s">
        <v>4335</v>
      </c>
      <c r="G83" s="508" t="s">
        <v>4336</v>
      </c>
      <c r="H83" s="508" t="s">
        <v>4337</v>
      </c>
      <c r="I83" s="2" t="s">
        <v>4338</v>
      </c>
      <c r="J83" s="507" t="s">
        <v>4339</v>
      </c>
      <c r="K83" s="507" t="s">
        <v>4340</v>
      </c>
      <c r="L83" s="507" t="s">
        <v>4341</v>
      </c>
      <c r="M83" s="507" t="s">
        <v>4342</v>
      </c>
      <c r="N83" s="507" t="s">
        <v>4343</v>
      </c>
    </row>
    <row r="84" spans="1:14" ht="57.6" x14ac:dyDescent="0.3">
      <c r="A84" s="501" t="s">
        <v>4344</v>
      </c>
      <c r="B84" s="506" t="str">
        <f t="shared" si="3"/>
        <v>C6 – Informations supplémentaires sur le personnel – Politiques et procédures en matière de droits de l’homme</v>
      </c>
      <c r="C84" s="501" t="s">
        <v>4345</v>
      </c>
      <c r="D84" s="501" t="s">
        <v>4346</v>
      </c>
      <c r="E84" s="501" t="s">
        <v>4347</v>
      </c>
      <c r="F84" s="501" t="s">
        <v>4348</v>
      </c>
      <c r="G84" s="508" t="s">
        <v>4349</v>
      </c>
      <c r="H84" s="508" t="s">
        <v>4350</v>
      </c>
      <c r="I84" s="2" t="s">
        <v>4351</v>
      </c>
      <c r="J84" s="507" t="s">
        <v>4352</v>
      </c>
      <c r="K84" s="507" t="s">
        <v>4353</v>
      </c>
      <c r="L84" s="507" t="s">
        <v>4354</v>
      </c>
      <c r="M84" s="507" t="s">
        <v>4355</v>
      </c>
      <c r="N84" s="507" t="s">
        <v>4356</v>
      </c>
    </row>
    <row r="85" spans="1:14" ht="43.2" x14ac:dyDescent="0.3">
      <c r="A85" s="501" t="s">
        <v>4357</v>
      </c>
      <c r="B85" s="506" t="str">
        <f>INDEX(C85:N85,MATCH(template_selected_display_language,$C$3:$N$3,0))</f>
        <v>C7 – Incidents graves en matière de droits de l’homme</v>
      </c>
      <c r="C85" s="501" t="s">
        <v>4358</v>
      </c>
      <c r="D85" s="501" t="s">
        <v>4359</v>
      </c>
      <c r="E85" s="501" t="s">
        <v>4360</v>
      </c>
      <c r="F85" s="501" t="s">
        <v>4361</v>
      </c>
      <c r="G85" s="508" t="s">
        <v>4362</v>
      </c>
      <c r="H85" s="508" t="s">
        <v>4363</v>
      </c>
      <c r="I85" s="2" t="s">
        <v>4364</v>
      </c>
      <c r="J85" s="507" t="s">
        <v>4365</v>
      </c>
      <c r="K85" s="507" t="s">
        <v>4366</v>
      </c>
      <c r="L85" s="507" t="s">
        <v>4367</v>
      </c>
      <c r="M85" s="507" t="s">
        <v>4368</v>
      </c>
      <c r="N85" s="507" t="s">
        <v>4369</v>
      </c>
    </row>
    <row r="86" spans="1:14" ht="28.8" x14ac:dyDescent="0.3">
      <c r="A86" s="501" t="s">
        <v>4370</v>
      </c>
      <c r="B86" s="506" t="str">
        <f t="shared" si="3"/>
        <v>C8 – Chiffre d’affaires de certains secteurs et exclusion des indices de référence de l’Union européenne</v>
      </c>
      <c r="C86" s="501" t="s">
        <v>4371</v>
      </c>
      <c r="D86" s="501" t="s">
        <v>4372</v>
      </c>
      <c r="E86" s="501" t="s">
        <v>4373</v>
      </c>
      <c r="F86" s="501" t="s">
        <v>4374</v>
      </c>
      <c r="G86" s="508" t="s">
        <v>4375</v>
      </c>
      <c r="H86" s="508" t="s">
        <v>4376</v>
      </c>
      <c r="I86" s="2" t="s">
        <v>4377</v>
      </c>
      <c r="J86" s="507" t="s">
        <v>4378</v>
      </c>
      <c r="K86" s="507" t="s">
        <v>4379</v>
      </c>
      <c r="L86" s="507" t="s">
        <v>4380</v>
      </c>
      <c r="M86" s="507" t="s">
        <v>4381</v>
      </c>
      <c r="N86" s="507" t="s">
        <v>4382</v>
      </c>
    </row>
    <row r="87" spans="1:14" ht="28.8" x14ac:dyDescent="0.3">
      <c r="A87" s="501" t="s">
        <v>4383</v>
      </c>
      <c r="B87" s="506" t="str">
        <f t="shared" si="3"/>
        <v>C9 – Ratio de mixité au sein de l’organe de gouvernance</v>
      </c>
      <c r="C87" s="501" t="s">
        <v>4384</v>
      </c>
      <c r="D87" s="501" t="s">
        <v>4385</v>
      </c>
      <c r="E87" s="501" t="s">
        <v>4386</v>
      </c>
      <c r="F87" s="501" t="s">
        <v>4387</v>
      </c>
      <c r="G87" s="508" t="s">
        <v>4388</v>
      </c>
      <c r="H87" s="508" t="s">
        <v>4389</v>
      </c>
      <c r="I87" s="2" t="s">
        <v>4390</v>
      </c>
      <c r="J87" s="507" t="s">
        <v>4391</v>
      </c>
      <c r="K87" s="507" t="s">
        <v>4392</v>
      </c>
      <c r="L87" s="507" t="s">
        <v>4393</v>
      </c>
      <c r="M87" s="507" t="s">
        <v>4394</v>
      </c>
      <c r="N87" s="507" t="s">
        <v>4395</v>
      </c>
    </row>
    <row r="88" spans="1:14" x14ac:dyDescent="0.3">
      <c r="A88" s="501" t="s">
        <v>4396</v>
      </c>
      <c r="B88" s="506" t="str">
        <f t="shared" si="3"/>
        <v>Informations supplémentaires</v>
      </c>
      <c r="C88" s="501" t="s">
        <v>4397</v>
      </c>
      <c r="D88" s="501" t="s">
        <v>4398</v>
      </c>
      <c r="E88" s="501" t="s">
        <v>4399</v>
      </c>
      <c r="F88" s="501" t="s">
        <v>4400</v>
      </c>
      <c r="G88" s="508" t="s">
        <v>4401</v>
      </c>
      <c r="H88" s="508" t="s">
        <v>4402</v>
      </c>
      <c r="I88" s="2" t="s">
        <v>4403</v>
      </c>
      <c r="J88" s="507" t="s">
        <v>4404</v>
      </c>
      <c r="K88" s="507" t="s">
        <v>4405</v>
      </c>
      <c r="L88" s="507" t="s">
        <v>4406</v>
      </c>
      <c r="M88" s="507" t="s">
        <v>4407</v>
      </c>
      <c r="N88" s="507" t="s">
        <v>4408</v>
      </c>
    </row>
    <row r="89" spans="1:14" x14ac:dyDescent="0.3">
      <c r="A89" s="2" t="s">
        <v>4409</v>
      </c>
      <c r="B89" s="506" t="str">
        <f t="shared" si="3"/>
        <v>Référence de paragraphe</v>
      </c>
      <c r="C89" s="2" t="s">
        <v>76</v>
      </c>
      <c r="D89" s="501" t="s">
        <v>4410</v>
      </c>
      <c r="E89" s="501" t="s">
        <v>4411</v>
      </c>
      <c r="F89" s="501" t="s">
        <v>4412</v>
      </c>
      <c r="G89" s="508" t="s">
        <v>4413</v>
      </c>
      <c r="H89" s="508" t="s">
        <v>4414</v>
      </c>
      <c r="I89" s="2" t="s">
        <v>4415</v>
      </c>
      <c r="J89" s="507" t="s">
        <v>4416</v>
      </c>
      <c r="K89" s="507" t="s">
        <v>4417</v>
      </c>
      <c r="L89" s="507" t="s">
        <v>4418</v>
      </c>
      <c r="M89" s="507" t="s">
        <v>4419</v>
      </c>
      <c r="N89" s="507" t="s">
        <v>4420</v>
      </c>
    </row>
    <row r="90" spans="1:14" ht="43.2" x14ac:dyDescent="0.3">
      <c r="A90" s="2" t="s">
        <v>4421</v>
      </c>
      <c r="B90" s="506" t="str">
        <f t="shared" si="3"/>
        <v>Référence de paragraphe des orientations</v>
      </c>
      <c r="C90" s="2" t="s">
        <v>77</v>
      </c>
      <c r="D90" s="501" t="s">
        <v>4422</v>
      </c>
      <c r="E90" s="501" t="s">
        <v>4423</v>
      </c>
      <c r="F90" s="501" t="s">
        <v>4424</v>
      </c>
      <c r="G90" s="508" t="s">
        <v>4425</v>
      </c>
      <c r="H90" s="508" t="s">
        <v>4426</v>
      </c>
      <c r="I90" s="2" t="s">
        <v>4427</v>
      </c>
      <c r="J90" s="507" t="s">
        <v>4428</v>
      </c>
      <c r="K90" s="507" t="s">
        <v>4429</v>
      </c>
      <c r="L90" s="507" t="s">
        <v>4430</v>
      </c>
      <c r="M90" s="507" t="s">
        <v>4431</v>
      </c>
      <c r="N90" s="507" t="s">
        <v>4432</v>
      </c>
    </row>
    <row r="91" spans="1:14" x14ac:dyDescent="0.3">
      <c r="A91" s="2" t="s">
        <v>4433</v>
      </c>
      <c r="B91" s="506" t="str">
        <f t="shared" si="3"/>
        <v>du</v>
      </c>
      <c r="C91" s="2" t="s">
        <v>4434</v>
      </c>
      <c r="D91" s="501" t="s">
        <v>4435</v>
      </c>
      <c r="E91" s="501" t="s">
        <v>4436</v>
      </c>
      <c r="F91" s="501" t="s">
        <v>4437</v>
      </c>
      <c r="G91" s="508" t="s">
        <v>4438</v>
      </c>
      <c r="H91" s="508" t="s">
        <v>4439</v>
      </c>
      <c r="I91" s="2" t="s">
        <v>3333</v>
      </c>
      <c r="J91" s="507" t="s">
        <v>4440</v>
      </c>
      <c r="K91" s="507" t="s">
        <v>4441</v>
      </c>
      <c r="L91" s="507" t="s">
        <v>3336</v>
      </c>
      <c r="M91" s="507" t="s">
        <v>4442</v>
      </c>
      <c r="N91" s="507" t="s">
        <v>3336</v>
      </c>
    </row>
    <row r="92" spans="1:14" x14ac:dyDescent="0.3">
      <c r="A92" s="2" t="s">
        <v>4443</v>
      </c>
      <c r="B92" s="506" t="str">
        <f t="shared" si="3"/>
        <v>au</v>
      </c>
      <c r="C92" s="2" t="s">
        <v>4444</v>
      </c>
      <c r="D92" s="501" t="s">
        <v>4445</v>
      </c>
      <c r="E92" s="501" t="s">
        <v>4446</v>
      </c>
      <c r="F92" s="501" t="s">
        <v>4447</v>
      </c>
      <c r="G92" s="508" t="s">
        <v>4448</v>
      </c>
      <c r="H92" s="508" t="s">
        <v>4449</v>
      </c>
      <c r="I92" s="2" t="s">
        <v>4450</v>
      </c>
      <c r="J92" s="507" t="s">
        <v>4451</v>
      </c>
      <c r="K92" s="507" t="s">
        <v>4452</v>
      </c>
      <c r="L92" s="507" t="s">
        <v>4453</v>
      </c>
      <c r="M92" s="507" t="s">
        <v>4452</v>
      </c>
      <c r="N92" s="507" t="s">
        <v>4450</v>
      </c>
    </row>
    <row r="93" spans="1:14" ht="43.8" thickBot="1" x14ac:dyDescent="0.35">
      <c r="A93" s="513" t="s">
        <v>4454</v>
      </c>
      <c r="B93" s="510" t="str">
        <f t="shared" si="3"/>
        <v>à</v>
      </c>
      <c r="C93" s="513" t="s">
        <v>4455</v>
      </c>
      <c r="D93" s="509" t="s">
        <v>4456</v>
      </c>
      <c r="E93" s="509" t="s">
        <v>4457</v>
      </c>
      <c r="F93" s="509" t="s">
        <v>4458</v>
      </c>
      <c r="G93" s="512" t="s">
        <v>4459</v>
      </c>
      <c r="H93" s="512" t="s">
        <v>4460</v>
      </c>
      <c r="I93" s="513" t="s">
        <v>4450</v>
      </c>
      <c r="J93" s="511" t="s">
        <v>4461</v>
      </c>
      <c r="K93" s="511" t="s">
        <v>4462</v>
      </c>
      <c r="L93" s="511" t="s">
        <v>4463</v>
      </c>
      <c r="M93" s="511" t="s">
        <v>4464</v>
      </c>
      <c r="N93" s="511" t="s">
        <v>3332</v>
      </c>
    </row>
    <row r="94" spans="1:14" ht="43.2" x14ac:dyDescent="0.3">
      <c r="A94" s="2" t="s">
        <v>4465</v>
      </c>
      <c r="B94" s="506" t="str">
        <f t="shared" si="3"/>
        <v xml:space="preserve">[Toujours à reporter] 
</v>
      </c>
      <c r="C94" s="2" t="s">
        <v>4466</v>
      </c>
      <c r="D94" s="501" t="s">
        <v>4467</v>
      </c>
      <c r="E94" s="501" t="s">
        <v>4468</v>
      </c>
      <c r="F94" s="501" t="s">
        <v>4469</v>
      </c>
      <c r="G94" s="508" t="s">
        <v>4470</v>
      </c>
      <c r="H94" s="508" t="s">
        <v>4471</v>
      </c>
      <c r="I94" s="2" t="s">
        <v>4472</v>
      </c>
      <c r="J94" s="507" t="s">
        <v>4473</v>
      </c>
      <c r="K94" s="507" t="s">
        <v>4474</v>
      </c>
      <c r="L94" s="507" t="s">
        <v>4475</v>
      </c>
      <c r="M94" s="507" t="s">
        <v>4476</v>
      </c>
      <c r="N94" s="507" t="s">
        <v>4477</v>
      </c>
    </row>
    <row r="95" spans="1:14" x14ac:dyDescent="0.3">
      <c r="A95" s="2" t="s">
        <v>4478</v>
      </c>
      <c r="B95" s="506" t="str">
        <f t="shared" si="3"/>
        <v>[Le cas échéant]</v>
      </c>
      <c r="C95" s="2" t="s">
        <v>4479</v>
      </c>
      <c r="D95" s="501" t="s">
        <v>4480</v>
      </c>
      <c r="E95" s="501" t="s">
        <v>4481</v>
      </c>
      <c r="F95" s="501" t="s">
        <v>4482</v>
      </c>
      <c r="G95" s="508" t="s">
        <v>4483</v>
      </c>
      <c r="H95" s="508" t="s">
        <v>4484</v>
      </c>
      <c r="I95" s="2" t="s">
        <v>4485</v>
      </c>
      <c r="J95" s="507" t="s">
        <v>4486</v>
      </c>
      <c r="K95" s="507" t="s">
        <v>4487</v>
      </c>
      <c r="L95" s="507" t="s">
        <v>4488</v>
      </c>
      <c r="M95" s="507" t="s">
        <v>4489</v>
      </c>
      <c r="N95" s="507" t="s">
        <v>4490</v>
      </c>
    </row>
    <row r="96" spans="1:14" x14ac:dyDescent="0.3">
      <c r="A96" s="2" t="s">
        <v>4491</v>
      </c>
      <c r="B96" s="506" t="str">
        <f t="shared" si="3"/>
        <v>[peut (facultatif)]</v>
      </c>
      <c r="C96" s="2" t="s">
        <v>4492</v>
      </c>
      <c r="D96" s="501" t="s">
        <v>4493</v>
      </c>
      <c r="E96" s="501" t="s">
        <v>4494</v>
      </c>
      <c r="F96" s="501" t="s">
        <v>4495</v>
      </c>
      <c r="G96" s="508" t="s">
        <v>4496</v>
      </c>
      <c r="H96" s="508" t="s">
        <v>4497</v>
      </c>
      <c r="I96" s="2" t="s">
        <v>4498</v>
      </c>
      <c r="J96" s="507" t="s">
        <v>4499</v>
      </c>
      <c r="K96" s="507" t="s">
        <v>4500</v>
      </c>
      <c r="L96" s="507" t="s">
        <v>4501</v>
      </c>
      <c r="M96" s="507" t="s">
        <v>4502</v>
      </c>
      <c r="N96" s="507" t="s">
        <v>4503</v>
      </c>
    </row>
    <row r="97" spans="1:14" x14ac:dyDescent="0.3">
      <c r="A97" s="2" t="s">
        <v>4504</v>
      </c>
      <c r="B97" s="506" t="str">
        <f t="shared" si="3"/>
        <v>peut (facultatif)</v>
      </c>
      <c r="C97" s="2" t="s">
        <v>4505</v>
      </c>
      <c r="D97" s="501" t="s">
        <v>4506</v>
      </c>
      <c r="E97" s="501" t="s">
        <v>4507</v>
      </c>
      <c r="F97" s="501" t="s">
        <v>4508</v>
      </c>
      <c r="G97" s="508" t="s">
        <v>4509</v>
      </c>
      <c r="H97" s="508" t="s">
        <v>4510</v>
      </c>
      <c r="I97" s="2" t="s">
        <v>4511</v>
      </c>
      <c r="J97" s="507" t="s">
        <v>4512</v>
      </c>
      <c r="K97" s="507" t="s">
        <v>4513</v>
      </c>
      <c r="L97" s="507" t="s">
        <v>4501</v>
      </c>
      <c r="M97" s="507" t="s">
        <v>4514</v>
      </c>
      <c r="N97" s="507" t="s">
        <v>4515</v>
      </c>
    </row>
    <row r="98" spans="1:14" x14ac:dyDescent="0.3">
      <c r="A98" s="2" t="s">
        <v>4516</v>
      </c>
      <c r="B98" s="506" t="str">
        <f t="shared" si="3"/>
        <v>[Toujours à reporter + le cas échéant]</v>
      </c>
      <c r="C98" s="2" t="s">
        <v>4517</v>
      </c>
      <c r="D98" s="501" t="s">
        <v>4518</v>
      </c>
      <c r="E98" s="501" t="s">
        <v>4519</v>
      </c>
      <c r="F98" s="501" t="s">
        <v>4520</v>
      </c>
      <c r="G98" s="508" t="s">
        <v>4521</v>
      </c>
      <c r="H98" s="508" t="s">
        <v>4522</v>
      </c>
      <c r="I98" s="2" t="s">
        <v>4523</v>
      </c>
      <c r="J98" s="507" t="s">
        <v>4524</v>
      </c>
      <c r="K98" s="507" t="s">
        <v>4525</v>
      </c>
      <c r="L98" s="507" t="s">
        <v>4526</v>
      </c>
      <c r="M98" s="507" t="s">
        <v>4527</v>
      </c>
      <c r="N98" s="507" t="s">
        <v>4528</v>
      </c>
    </row>
    <row r="99" spans="1:14" x14ac:dyDescent="0.3">
      <c r="A99" s="2" t="s">
        <v>4529</v>
      </c>
      <c r="B99" s="506" t="str">
        <f t="shared" si="3"/>
        <v>[S'il y a lieu, lié à B2]</v>
      </c>
      <c r="C99" s="2" t="s">
        <v>4530</v>
      </c>
      <c r="D99" s="501" t="s">
        <v>4531</v>
      </c>
      <c r="E99" s="501" t="s">
        <v>4532</v>
      </c>
      <c r="F99" s="501" t="s">
        <v>4533</v>
      </c>
      <c r="G99" s="508" t="s">
        <v>4534</v>
      </c>
      <c r="H99" s="508" t="s">
        <v>4535</v>
      </c>
      <c r="I99" s="2" t="s">
        <v>4536</v>
      </c>
      <c r="J99" s="507" t="s">
        <v>4537</v>
      </c>
      <c r="K99" s="507" t="s">
        <v>4538</v>
      </c>
      <c r="L99" s="507" t="s">
        <v>4539</v>
      </c>
      <c r="M99" s="507" t="s">
        <v>4540</v>
      </c>
      <c r="N99" s="507" t="s">
        <v>4541</v>
      </c>
    </row>
    <row r="100" spans="1:14" ht="58.2" thickBot="1" x14ac:dyDescent="0.35">
      <c r="A100" s="513" t="s">
        <v>4542</v>
      </c>
      <c r="B100" s="510" t="str">
        <f t="shared" si="3"/>
        <v>montant en</v>
      </c>
      <c r="C100" s="513" t="s">
        <v>4543</v>
      </c>
      <c r="D100" s="509" t="s">
        <v>4544</v>
      </c>
      <c r="E100" s="509" t="s">
        <v>4545</v>
      </c>
      <c r="F100" s="509" t="s">
        <v>4546</v>
      </c>
      <c r="G100" s="512" t="s">
        <v>4547</v>
      </c>
      <c r="H100" s="512" t="s">
        <v>4548</v>
      </c>
      <c r="I100" s="513" t="s">
        <v>4549</v>
      </c>
      <c r="J100" s="511" t="s">
        <v>4550</v>
      </c>
      <c r="K100" s="511" t="s">
        <v>4551</v>
      </c>
      <c r="L100" s="511" t="s">
        <v>4552</v>
      </c>
      <c r="M100" s="511" t="s">
        <v>4553</v>
      </c>
      <c r="N100" s="511" t="s">
        <v>4554</v>
      </c>
    </row>
    <row r="101" spans="1:14" x14ac:dyDescent="0.3">
      <c r="A101" s="2" t="s">
        <v>4555</v>
      </c>
      <c r="B101" s="506" t="str">
        <f t="shared" si="3"/>
        <v>Informations sur le rapport nécessaires pour XBRL</v>
      </c>
      <c r="C101" s="2" t="s">
        <v>4065</v>
      </c>
      <c r="D101" s="501" t="s">
        <v>4066</v>
      </c>
      <c r="E101" s="501" t="s">
        <v>4556</v>
      </c>
      <c r="F101" s="501" t="s">
        <v>4068</v>
      </c>
      <c r="G101" s="508" t="s">
        <v>4069</v>
      </c>
      <c r="H101" s="508" t="s">
        <v>4070</v>
      </c>
      <c r="I101" s="2" t="s">
        <v>4071</v>
      </c>
      <c r="J101" s="507" t="s">
        <v>4557</v>
      </c>
      <c r="K101" s="507" t="s">
        <v>4558</v>
      </c>
      <c r="L101" s="507" t="s">
        <v>4074</v>
      </c>
      <c r="M101" s="507" t="s">
        <v>4075</v>
      </c>
      <c r="N101" s="507" t="s">
        <v>4559</v>
      </c>
    </row>
    <row r="102" spans="1:14" ht="28.8" x14ac:dyDescent="0.3">
      <c r="A102" s="2" t="s">
        <v>4560</v>
      </c>
      <c r="B102" s="506" t="str">
        <f t="shared" si="3"/>
        <v xml:space="preserve">Nom de l'entreprise déclarante
</v>
      </c>
      <c r="C102" s="2" t="s">
        <v>4561</v>
      </c>
      <c r="D102" s="501" t="s">
        <v>4562</v>
      </c>
      <c r="E102" s="501" t="s">
        <v>4563</v>
      </c>
      <c r="F102" s="501" t="s">
        <v>4564</v>
      </c>
      <c r="G102" s="508" t="s">
        <v>4565</v>
      </c>
      <c r="H102" s="508" t="s">
        <v>4566</v>
      </c>
      <c r="I102" s="2" t="s">
        <v>4567</v>
      </c>
      <c r="J102" s="507" t="s">
        <v>4568</v>
      </c>
      <c r="K102" s="507" t="s">
        <v>4569</v>
      </c>
      <c r="L102" s="507" t="s">
        <v>4570</v>
      </c>
      <c r="M102" s="507" t="s">
        <v>4571</v>
      </c>
      <c r="N102" s="507" t="s">
        <v>4572</v>
      </c>
    </row>
    <row r="103" spans="1:14" ht="28.8" x14ac:dyDescent="0.3">
      <c r="A103" s="2" t="s">
        <v>4573</v>
      </c>
      <c r="B103" s="506" t="str">
        <f t="shared" si="3"/>
        <v>Identifiant de l'entreprise déclarante (sélectionnez et spécifiez à droite)</v>
      </c>
      <c r="C103" s="2" t="s">
        <v>4574</v>
      </c>
      <c r="D103" s="501" t="s">
        <v>4575</v>
      </c>
      <c r="E103" s="501" t="s">
        <v>3360</v>
      </c>
      <c r="F103" s="501" t="s">
        <v>4576</v>
      </c>
      <c r="G103" s="508" t="s">
        <v>4577</v>
      </c>
      <c r="H103" s="508" t="s">
        <v>4578</v>
      </c>
      <c r="I103" s="2" t="s">
        <v>4579</v>
      </c>
      <c r="J103" s="507" t="s">
        <v>4580</v>
      </c>
      <c r="K103" s="507" t="s">
        <v>4581</v>
      </c>
      <c r="L103" s="507" t="s">
        <v>4582</v>
      </c>
      <c r="M103" s="507" t="s">
        <v>4583</v>
      </c>
      <c r="N103" s="507" t="s">
        <v>4584</v>
      </c>
    </row>
    <row r="104" spans="1:14" ht="28.8" x14ac:dyDescent="0.3">
      <c r="A104" s="2" t="s">
        <v>4585</v>
      </c>
      <c r="B104" s="506" t="str">
        <f t="shared" si="3"/>
        <v>Devise utilisée pour les valeurs monétaires dans le rapport</v>
      </c>
      <c r="C104" s="2" t="s">
        <v>4586</v>
      </c>
      <c r="D104" s="501" t="s">
        <v>4587</v>
      </c>
      <c r="E104" s="501" t="s">
        <v>4588</v>
      </c>
      <c r="F104" s="501" t="s">
        <v>4589</v>
      </c>
      <c r="G104" s="508" t="s">
        <v>4590</v>
      </c>
      <c r="H104" s="508" t="s">
        <v>4591</v>
      </c>
      <c r="I104" s="2" t="s">
        <v>4592</v>
      </c>
      <c r="J104" s="507" t="s">
        <v>4593</v>
      </c>
      <c r="K104" s="507" t="s">
        <v>4594</v>
      </c>
      <c r="L104" s="507" t="s">
        <v>4595</v>
      </c>
      <c r="M104" s="507" t="s">
        <v>4596</v>
      </c>
      <c r="N104" s="507" t="s">
        <v>4597</v>
      </c>
    </row>
    <row r="105" spans="1:14" x14ac:dyDescent="0.3">
      <c r="A105" s="2" t="s">
        <v>4598</v>
      </c>
      <c r="B105" s="506" t="str">
        <f t="shared" si="3"/>
        <v>Année de début</v>
      </c>
      <c r="C105" s="2" t="s">
        <v>4599</v>
      </c>
      <c r="D105" s="501" t="s">
        <v>4600</v>
      </c>
      <c r="E105" s="501" t="s">
        <v>4601</v>
      </c>
      <c r="F105" s="501" t="s">
        <v>4602</v>
      </c>
      <c r="G105" s="508" t="s">
        <v>4603</v>
      </c>
      <c r="H105" s="508" t="s">
        <v>4604</v>
      </c>
      <c r="I105" s="2" t="s">
        <v>4605</v>
      </c>
      <c r="J105" s="507" t="s">
        <v>4606</v>
      </c>
      <c r="K105" s="507" t="s">
        <v>4607</v>
      </c>
      <c r="L105" s="507" t="s">
        <v>4608</v>
      </c>
      <c r="M105" s="507" t="s">
        <v>4609</v>
      </c>
      <c r="N105" s="507" t="s">
        <v>4610</v>
      </c>
    </row>
    <row r="106" spans="1:14" ht="28.8" x14ac:dyDescent="0.3">
      <c r="A106" s="2" t="s">
        <v>4611</v>
      </c>
      <c r="B106" s="506" t="str">
        <f t="shared" ref="B106:B170" si="4">INDEX(C106:N106,MATCH(template_selected_display_language,$C$3:$N$3,0))</f>
        <v>Mois de début</v>
      </c>
      <c r="C106" s="2" t="s">
        <v>4612</v>
      </c>
      <c r="D106" s="501" t="s">
        <v>4613</v>
      </c>
      <c r="E106" s="501" t="s">
        <v>4614</v>
      </c>
      <c r="F106" s="501" t="s">
        <v>4615</v>
      </c>
      <c r="G106" s="508" t="s">
        <v>4616</v>
      </c>
      <c r="H106" s="508" t="s">
        <v>4617</v>
      </c>
      <c r="I106" s="2" t="s">
        <v>4618</v>
      </c>
      <c r="J106" s="507" t="s">
        <v>4619</v>
      </c>
      <c r="K106" s="507" t="s">
        <v>4620</v>
      </c>
      <c r="L106" s="507" t="s">
        <v>4621</v>
      </c>
      <c r="M106" s="507" t="s">
        <v>4622</v>
      </c>
      <c r="N106" s="507" t="s">
        <v>4623</v>
      </c>
    </row>
    <row r="107" spans="1:14" x14ac:dyDescent="0.3">
      <c r="A107" s="2" t="s">
        <v>4624</v>
      </c>
      <c r="B107" s="506" t="str">
        <f t="shared" si="4"/>
        <v>Jour de début</v>
      </c>
      <c r="C107" s="2" t="s">
        <v>4625</v>
      </c>
      <c r="D107" s="501" t="s">
        <v>4626</v>
      </c>
      <c r="E107" s="501" t="s">
        <v>4627</v>
      </c>
      <c r="F107" s="501" t="s">
        <v>4628</v>
      </c>
      <c r="G107" s="508" t="s">
        <v>4629</v>
      </c>
      <c r="H107" s="508" t="s">
        <v>4630</v>
      </c>
      <c r="I107" s="2" t="s">
        <v>4631</v>
      </c>
      <c r="J107" s="507" t="s">
        <v>4632</v>
      </c>
      <c r="K107" s="507" t="s">
        <v>4633</v>
      </c>
      <c r="L107" s="507" t="s">
        <v>4634</v>
      </c>
      <c r="M107" s="507" t="s">
        <v>4635</v>
      </c>
      <c r="N107" s="507" t="s">
        <v>4636</v>
      </c>
    </row>
    <row r="108" spans="1:14" x14ac:dyDescent="0.3">
      <c r="A108" s="2" t="s">
        <v>4637</v>
      </c>
      <c r="B108" s="506" t="str">
        <f t="shared" si="4"/>
        <v>Date de début de la période de reporting (aaaa-mm-jj)</v>
      </c>
      <c r="C108" s="2" t="s">
        <v>4638</v>
      </c>
      <c r="D108" s="501" t="s">
        <v>4639</v>
      </c>
      <c r="E108" s="501" t="s">
        <v>4640</v>
      </c>
      <c r="F108" s="501" t="s">
        <v>4641</v>
      </c>
      <c r="G108" s="508" t="s">
        <v>4642</v>
      </c>
      <c r="H108" s="508" t="s">
        <v>4643</v>
      </c>
      <c r="I108" s="2" t="s">
        <v>4644</v>
      </c>
      <c r="J108" s="507" t="s">
        <v>4645</v>
      </c>
      <c r="K108" s="507" t="s">
        <v>4646</v>
      </c>
      <c r="L108" s="507" t="s">
        <v>4647</v>
      </c>
      <c r="M108" s="507" t="s">
        <v>4648</v>
      </c>
      <c r="N108" s="507" t="s">
        <v>4649</v>
      </c>
    </row>
    <row r="109" spans="1:14" ht="28.8" x14ac:dyDescent="0.3">
      <c r="A109" s="2" t="s">
        <v>4650</v>
      </c>
      <c r="B109" s="506" t="str">
        <f t="shared" si="4"/>
        <v xml:space="preserve">Année de fin
</v>
      </c>
      <c r="C109" s="2" t="s">
        <v>4651</v>
      </c>
      <c r="D109" s="501" t="s">
        <v>4652</v>
      </c>
      <c r="E109" s="501" t="s">
        <v>4653</v>
      </c>
      <c r="F109" s="501" t="s">
        <v>4654</v>
      </c>
      <c r="G109" s="508" t="s">
        <v>4655</v>
      </c>
      <c r="H109" s="508" t="s">
        <v>4656</v>
      </c>
      <c r="I109" s="2" t="s">
        <v>4657</v>
      </c>
      <c r="J109" s="507" t="s">
        <v>4658</v>
      </c>
      <c r="K109" s="507" t="s">
        <v>4659</v>
      </c>
      <c r="L109" s="507" t="s">
        <v>4660</v>
      </c>
      <c r="M109" s="507" t="s">
        <v>4661</v>
      </c>
      <c r="N109" s="507" t="s">
        <v>4662</v>
      </c>
    </row>
    <row r="110" spans="1:14" ht="28.8" x14ac:dyDescent="0.3">
      <c r="A110" s="2" t="s">
        <v>4663</v>
      </c>
      <c r="B110" s="506" t="str">
        <f t="shared" si="4"/>
        <v>Mois de fin</v>
      </c>
      <c r="C110" s="2" t="s">
        <v>4664</v>
      </c>
      <c r="D110" s="501" t="s">
        <v>4665</v>
      </c>
      <c r="E110" s="501" t="s">
        <v>4666</v>
      </c>
      <c r="F110" s="501" t="s">
        <v>4667</v>
      </c>
      <c r="G110" s="508" t="s">
        <v>4668</v>
      </c>
      <c r="H110" s="508" t="s">
        <v>4669</v>
      </c>
      <c r="I110" s="2" t="s">
        <v>4670</v>
      </c>
      <c r="J110" s="507" t="s">
        <v>4671</v>
      </c>
      <c r="K110" s="507" t="s">
        <v>4672</v>
      </c>
      <c r="L110" s="507" t="s">
        <v>4673</v>
      </c>
      <c r="M110" s="507" t="s">
        <v>4674</v>
      </c>
      <c r="N110" s="507" t="s">
        <v>4675</v>
      </c>
    </row>
    <row r="111" spans="1:14" ht="43.2" x14ac:dyDescent="0.3">
      <c r="A111" s="2" t="s">
        <v>4676</v>
      </c>
      <c r="B111" s="506" t="str">
        <f t="shared" si="4"/>
        <v>Jour de fin</v>
      </c>
      <c r="C111" s="2" t="s">
        <v>6</v>
      </c>
      <c r="D111" s="501" t="s">
        <v>4677</v>
      </c>
      <c r="E111" s="501" t="s">
        <v>4678</v>
      </c>
      <c r="F111" s="501" t="s">
        <v>4679</v>
      </c>
      <c r="G111" s="508" t="s">
        <v>4680</v>
      </c>
      <c r="H111" s="508" t="s">
        <v>4681</v>
      </c>
      <c r="I111" s="2" t="s">
        <v>4682</v>
      </c>
      <c r="J111" s="507" t="s">
        <v>4683</v>
      </c>
      <c r="K111" s="507" t="s">
        <v>4684</v>
      </c>
      <c r="L111" s="507" t="s">
        <v>4685</v>
      </c>
      <c r="M111" s="507" t="s">
        <v>4686</v>
      </c>
      <c r="N111" s="507" t="s">
        <v>4687</v>
      </c>
    </row>
    <row r="112" spans="1:14" ht="15" thickBot="1" x14ac:dyDescent="0.35">
      <c r="A112" s="513" t="s">
        <v>4688</v>
      </c>
      <c r="B112" s="510" t="str">
        <f t="shared" si="4"/>
        <v>Date de fin de la période de reporting (aaaa-mm-jj)</v>
      </c>
      <c r="C112" s="513" t="s">
        <v>4689</v>
      </c>
      <c r="D112" s="509" t="s">
        <v>4690</v>
      </c>
      <c r="E112" s="509" t="s">
        <v>4691</v>
      </c>
      <c r="F112" s="509" t="s">
        <v>4692</v>
      </c>
      <c r="G112" s="512" t="s">
        <v>4693</v>
      </c>
      <c r="H112" s="512" t="s">
        <v>4694</v>
      </c>
      <c r="I112" s="513" t="s">
        <v>4695</v>
      </c>
      <c r="J112" s="511" t="s">
        <v>4696</v>
      </c>
      <c r="K112" s="511" t="s">
        <v>4697</v>
      </c>
      <c r="L112" s="511" t="s">
        <v>4698</v>
      </c>
      <c r="M112" s="511" t="s">
        <v>4699</v>
      </c>
      <c r="N112" s="511" t="s">
        <v>4700</v>
      </c>
    </row>
    <row r="113" spans="1:14" ht="43.2" x14ac:dyDescent="0.3">
      <c r="A113" s="2" t="s">
        <v>4701</v>
      </c>
      <c r="B113" s="506" t="str">
        <f t="shared" si="4"/>
        <v>Informations sur la période de reporting précédente</v>
      </c>
      <c r="C113" s="2" t="s">
        <v>4078</v>
      </c>
      <c r="D113" s="501" t="s">
        <v>4702</v>
      </c>
      <c r="E113" s="501" t="s">
        <v>4703</v>
      </c>
      <c r="F113" s="501" t="s">
        <v>4081</v>
      </c>
      <c r="G113" s="508" t="s">
        <v>4082</v>
      </c>
      <c r="H113" s="508" t="s">
        <v>4083</v>
      </c>
      <c r="I113" s="2" t="s">
        <v>4084</v>
      </c>
      <c r="J113" s="507" t="s">
        <v>4085</v>
      </c>
      <c r="K113" s="507" t="s">
        <v>4704</v>
      </c>
      <c r="L113" s="507" t="s">
        <v>4087</v>
      </c>
      <c r="M113" s="507" t="s">
        <v>4088</v>
      </c>
      <c r="N113" s="507" t="s">
        <v>4089</v>
      </c>
    </row>
    <row r="114" spans="1:14" ht="43.2" x14ac:dyDescent="0.3">
      <c r="A114" s="2" t="s">
        <v>4705</v>
      </c>
      <c r="B114" s="506" t="str">
        <f t="shared" si="4"/>
        <v>Ce rapport contient des informations de la période de reporting précédente qui restent inchangées.</v>
      </c>
      <c r="C114" s="2" t="s">
        <v>4706</v>
      </c>
      <c r="D114" s="501" t="s">
        <v>4707</v>
      </c>
      <c r="E114" s="501" t="s">
        <v>4708</v>
      </c>
      <c r="F114" s="501" t="s">
        <v>4709</v>
      </c>
      <c r="G114" s="508" t="s">
        <v>4710</v>
      </c>
      <c r="H114" s="508" t="s">
        <v>4711</v>
      </c>
      <c r="I114" s="2" t="s">
        <v>4712</v>
      </c>
      <c r="J114" s="507" t="s">
        <v>4713</v>
      </c>
      <c r="K114" s="507" t="s">
        <v>4714</v>
      </c>
      <c r="L114" s="507" t="s">
        <v>4715</v>
      </c>
      <c r="M114" s="507" t="s">
        <v>4716</v>
      </c>
      <c r="N114" s="507" t="s">
        <v>4717</v>
      </c>
    </row>
    <row r="115" spans="1:14" ht="72" x14ac:dyDescent="0.3">
      <c r="A115" s="2" t="s">
        <v>4718</v>
      </c>
      <c r="B115" s="506" t="str">
        <f t="shared" si="4"/>
        <v>Liste des informations pour lesquelles aucun changement n’est signalé par rapport à la période de reporting précédente</v>
      </c>
      <c r="C115" s="2" t="s">
        <v>4719</v>
      </c>
      <c r="D115" s="501" t="s">
        <v>4720</v>
      </c>
      <c r="E115" s="501" t="s">
        <v>4721</v>
      </c>
      <c r="F115" s="501" t="s">
        <v>4722</v>
      </c>
      <c r="G115" s="508" t="s">
        <v>4723</v>
      </c>
      <c r="H115" s="508" t="s">
        <v>4724</v>
      </c>
      <c r="I115" s="2" t="s">
        <v>4725</v>
      </c>
      <c r="J115" s="507" t="s">
        <v>4726</v>
      </c>
      <c r="K115" s="507" t="s">
        <v>4727</v>
      </c>
      <c r="L115" s="507" t="s">
        <v>4728</v>
      </c>
      <c r="M115" s="507" t="s">
        <v>4729</v>
      </c>
      <c r="N115" s="507" t="s">
        <v>4730</v>
      </c>
    </row>
    <row r="116" spans="1:14" ht="29.4" thickBot="1" x14ac:dyDescent="0.35">
      <c r="A116" s="513" t="s">
        <v>4731</v>
      </c>
      <c r="B116" s="510" t="str">
        <f t="shared" si="4"/>
        <v>Lien vers le rapport précédent contenant des informations inchangées</v>
      </c>
      <c r="C116" s="513" t="s">
        <v>4732</v>
      </c>
      <c r="D116" s="509" t="s">
        <v>4733</v>
      </c>
      <c r="E116" s="509" t="s">
        <v>4734</v>
      </c>
      <c r="F116" s="509" t="s">
        <v>4735</v>
      </c>
      <c r="G116" s="512" t="s">
        <v>4736</v>
      </c>
      <c r="H116" s="512" t="s">
        <v>4737</v>
      </c>
      <c r="I116" s="513" t="s">
        <v>4738</v>
      </c>
      <c r="J116" s="511" t="s">
        <v>4739</v>
      </c>
      <c r="K116" s="511" t="s">
        <v>4740</v>
      </c>
      <c r="L116" s="511" t="s">
        <v>4741</v>
      </c>
      <c r="M116" s="511" t="s">
        <v>4742</v>
      </c>
      <c r="N116" s="511" t="s">
        <v>4743</v>
      </c>
    </row>
    <row r="117" spans="1:14" ht="28.8" x14ac:dyDescent="0.3">
      <c r="A117" s="2" t="s">
        <v>4744</v>
      </c>
      <c r="B117" s="506" t="str">
        <f t="shared" si="4"/>
        <v>B1 - Base de préparation &amp; Module</v>
      </c>
      <c r="C117" s="2" t="s">
        <v>4745</v>
      </c>
      <c r="D117" s="501" t="s">
        <v>4746</v>
      </c>
      <c r="E117" s="501" t="s">
        <v>4747</v>
      </c>
      <c r="F117" s="501" t="s">
        <v>4748</v>
      </c>
      <c r="G117" s="508" t="s">
        <v>4749</v>
      </c>
      <c r="H117" s="508" t="s">
        <v>4750</v>
      </c>
      <c r="I117" s="2" t="s">
        <v>4751</v>
      </c>
      <c r="J117" s="507" t="s">
        <v>4752</v>
      </c>
      <c r="K117" s="507" t="s">
        <v>4753</v>
      </c>
      <c r="L117" s="507" t="s">
        <v>4754</v>
      </c>
      <c r="M117" s="507" t="s">
        <v>4755</v>
      </c>
      <c r="N117" s="507" t="s">
        <v>4756</v>
      </c>
    </row>
    <row r="118" spans="1:14" x14ac:dyDescent="0.3">
      <c r="A118" s="2" t="s">
        <v>4757</v>
      </c>
      <c r="B118" s="506" t="str">
        <f t="shared" ref="B118" si="5">INDEX(C118:N118,MATCH(template_selected_display_language,$C$3:$N$3,0))</f>
        <v>B1 - Autres informations générales de l'entreprise</v>
      </c>
      <c r="C118" s="2" t="s">
        <v>4758</v>
      </c>
      <c r="D118" s="501" t="s">
        <v>4759</v>
      </c>
      <c r="E118" s="501" t="s">
        <v>4760</v>
      </c>
      <c r="F118" s="501" t="s">
        <v>4761</v>
      </c>
      <c r="G118" s="508" t="s">
        <v>4762</v>
      </c>
      <c r="H118" s="508" t="s">
        <v>4763</v>
      </c>
      <c r="I118" s="2" t="s">
        <v>4764</v>
      </c>
      <c r="J118" s="507" t="s">
        <v>4765</v>
      </c>
      <c r="K118" s="507" t="s">
        <v>4766</v>
      </c>
      <c r="L118" s="507" t="s">
        <v>4767</v>
      </c>
      <c r="M118" s="507" t="s">
        <v>4768</v>
      </c>
      <c r="N118" s="507" t="s">
        <v>4769</v>
      </c>
    </row>
    <row r="119" spans="1:14" ht="28.8" x14ac:dyDescent="0.3">
      <c r="A119" s="2" t="s">
        <v>4770</v>
      </c>
      <c r="B119" s="506" t="str">
        <f t="shared" si="4"/>
        <v>Base de préparation (Module de base uniquement ou Modules de base &amp; complet)</v>
      </c>
      <c r="C119" s="2" t="s">
        <v>4771</v>
      </c>
      <c r="D119" s="501" t="s">
        <v>4772</v>
      </c>
      <c r="E119" s="501" t="s">
        <v>4773</v>
      </c>
      <c r="F119" s="501" t="s">
        <v>4774</v>
      </c>
      <c r="G119" s="508" t="s">
        <v>4775</v>
      </c>
      <c r="H119" s="508" t="s">
        <v>4776</v>
      </c>
      <c r="I119" s="2" t="s">
        <v>4777</v>
      </c>
      <c r="J119" s="507" t="s">
        <v>4778</v>
      </c>
      <c r="K119" s="507" t="s">
        <v>4779</v>
      </c>
      <c r="L119" s="507" t="s">
        <v>4780</v>
      </c>
      <c r="M119" s="507" t="s">
        <v>4781</v>
      </c>
      <c r="N119" s="507" t="s">
        <v>4782</v>
      </c>
    </row>
    <row r="120" spans="1:14" ht="28.8" x14ac:dyDescent="0.3">
      <c r="A120" s="2" t="s">
        <v>4783</v>
      </c>
      <c r="B120" s="506" t="str">
        <f t="shared" si="4"/>
        <v>Liste des informations omises jugées comme informations classifiées ou sensibles</v>
      </c>
      <c r="C120" s="2" t="s">
        <v>4784</v>
      </c>
      <c r="D120" s="501" t="s">
        <v>4785</v>
      </c>
      <c r="E120" s="501" t="s">
        <v>4786</v>
      </c>
      <c r="F120" s="501" t="s">
        <v>4787</v>
      </c>
      <c r="G120" s="508" t="s">
        <v>4788</v>
      </c>
      <c r="H120" s="508" t="s">
        <v>4789</v>
      </c>
      <c r="I120" s="2" t="s">
        <v>4790</v>
      </c>
      <c r="J120" s="507" t="s">
        <v>4791</v>
      </c>
      <c r="K120" s="507" t="s">
        <v>4792</v>
      </c>
      <c r="L120" s="507" t="s">
        <v>4793</v>
      </c>
      <c r="M120" s="507" t="s">
        <v>4794</v>
      </c>
      <c r="N120" s="507" t="s">
        <v>4795</v>
      </c>
    </row>
    <row r="121" spans="1:14" ht="28.8" x14ac:dyDescent="0.3">
      <c r="A121" s="2" t="s">
        <v>4796</v>
      </c>
      <c r="B121" s="506" t="str">
        <f t="shared" si="4"/>
        <v>Base de présentation (consolidée ou individuelle)</v>
      </c>
      <c r="C121" s="2" t="s">
        <v>4797</v>
      </c>
      <c r="D121" s="501" t="s">
        <v>4798</v>
      </c>
      <c r="E121" s="501" t="s">
        <v>4799</v>
      </c>
      <c r="F121" s="501" t="s">
        <v>4800</v>
      </c>
      <c r="G121" s="508" t="s">
        <v>4801</v>
      </c>
      <c r="H121" s="508" t="s">
        <v>4802</v>
      </c>
      <c r="I121" s="2" t="s">
        <v>4803</v>
      </c>
      <c r="J121" s="507" t="s">
        <v>4804</v>
      </c>
      <c r="K121" s="507" t="s">
        <v>4805</v>
      </c>
      <c r="L121" s="507" t="s">
        <v>4806</v>
      </c>
      <c r="M121" s="507" t="s">
        <v>4807</v>
      </c>
      <c r="N121" s="507" t="s">
        <v>4808</v>
      </c>
    </row>
    <row r="122" spans="1:14" x14ac:dyDescent="0.3">
      <c r="A122" s="2" t="s">
        <v>4809</v>
      </c>
      <c r="B122" s="506" t="str">
        <f t="shared" si="4"/>
        <v>Forme juridique de l’entreprise</v>
      </c>
      <c r="C122" s="2" t="s">
        <v>4810</v>
      </c>
      <c r="D122" s="501" t="s">
        <v>4811</v>
      </c>
      <c r="E122" s="501" t="s">
        <v>4812</v>
      </c>
      <c r="F122" s="501" t="s">
        <v>4813</v>
      </c>
      <c r="G122" s="508" t="s">
        <v>4814</v>
      </c>
      <c r="H122" s="508" t="s">
        <v>4815</v>
      </c>
      <c r="I122" s="2" t="s">
        <v>4816</v>
      </c>
      <c r="J122" s="507" t="s">
        <v>4817</v>
      </c>
      <c r="K122" s="507" t="s">
        <v>4818</v>
      </c>
      <c r="L122" s="507" t="s">
        <v>4819</v>
      </c>
      <c r="M122" s="507" t="s">
        <v>4820</v>
      </c>
      <c r="N122" s="507" t="s">
        <v>4821</v>
      </c>
    </row>
    <row r="123" spans="1:14" x14ac:dyDescent="0.3">
      <c r="A123" s="2" t="s">
        <v>4822</v>
      </c>
      <c r="B123" s="506" t="str">
        <f t="shared" si="4"/>
        <v>Autre spécification sur la forme juridique de entreprise</v>
      </c>
      <c r="C123" s="2" t="s">
        <v>4823</v>
      </c>
      <c r="D123" s="501" t="s">
        <v>4824</v>
      </c>
      <c r="E123" s="501" t="s">
        <v>4825</v>
      </c>
      <c r="F123" s="501" t="s">
        <v>4826</v>
      </c>
      <c r="G123" s="508" t="s">
        <v>4827</v>
      </c>
      <c r="H123" s="508" t="s">
        <v>4828</v>
      </c>
      <c r="I123" s="2" t="s">
        <v>4829</v>
      </c>
      <c r="J123" s="507" t="s">
        <v>4830</v>
      </c>
      <c r="K123" s="507" t="s">
        <v>4831</v>
      </c>
      <c r="L123" s="507" t="s">
        <v>4832</v>
      </c>
      <c r="M123" s="507" t="s">
        <v>4833</v>
      </c>
      <c r="N123" s="507" t="s">
        <v>4834</v>
      </c>
    </row>
    <row r="124" spans="1:14" x14ac:dyDescent="0.3">
      <c r="A124" s="2" t="s">
        <v>4835</v>
      </c>
      <c r="B124" s="506" t="str">
        <f t="shared" si="4"/>
        <v>Code(s) de la nomenclature sectorielle NACE</v>
      </c>
      <c r="C124" s="2" t="s">
        <v>4836</v>
      </c>
      <c r="D124" s="501" t="s">
        <v>4837</v>
      </c>
      <c r="E124" s="501" t="s">
        <v>4838</v>
      </c>
      <c r="F124" s="514" t="s">
        <v>4839</v>
      </c>
      <c r="G124" s="508" t="s">
        <v>4840</v>
      </c>
      <c r="H124" s="508" t="s">
        <v>4841</v>
      </c>
      <c r="I124" s="2" t="s">
        <v>4842</v>
      </c>
      <c r="J124" s="507" t="s">
        <v>4843</v>
      </c>
      <c r="K124" s="507" t="s">
        <v>4844</v>
      </c>
      <c r="L124" s="507" t="s">
        <v>4845</v>
      </c>
      <c r="M124" s="507" t="s">
        <v>4846</v>
      </c>
      <c r="N124" s="507" t="s">
        <v>4847</v>
      </c>
    </row>
    <row r="125" spans="1:14" x14ac:dyDescent="0.3">
      <c r="A125" s="2" t="s">
        <v>4848</v>
      </c>
      <c r="B125" s="506" t="str">
        <f t="shared" si="4"/>
        <v>Total du bilan (total des actifs) en</v>
      </c>
      <c r="C125" s="2" t="s">
        <v>4849</v>
      </c>
      <c r="D125" s="501" t="s">
        <v>4850</v>
      </c>
      <c r="E125" s="501" t="s">
        <v>4851</v>
      </c>
      <c r="F125" s="514" t="s">
        <v>4852</v>
      </c>
      <c r="G125" s="508" t="s">
        <v>4853</v>
      </c>
      <c r="H125" s="508" t="s">
        <v>4854</v>
      </c>
      <c r="I125" s="2" t="s">
        <v>4855</v>
      </c>
      <c r="J125" s="507" t="s">
        <v>4856</v>
      </c>
      <c r="K125" s="507" t="s">
        <v>4857</v>
      </c>
      <c r="L125" s="507" t="s">
        <v>4858</v>
      </c>
      <c r="M125" s="507" t="s">
        <v>4859</v>
      </c>
      <c r="N125" s="507" t="s">
        <v>4860</v>
      </c>
    </row>
    <row r="126" spans="1:14" x14ac:dyDescent="0.3">
      <c r="A126" s="2" t="s">
        <v>4861</v>
      </c>
      <c r="B126" s="506" t="str">
        <f t="shared" si="4"/>
        <v>Chiffre d'affaires en</v>
      </c>
      <c r="C126" s="2" t="s">
        <v>4862</v>
      </c>
      <c r="D126" s="501" t="s">
        <v>4863</v>
      </c>
      <c r="E126" s="501" t="s">
        <v>4864</v>
      </c>
      <c r="F126" s="501" t="s">
        <v>4865</v>
      </c>
      <c r="G126" s="508" t="s">
        <v>4866</v>
      </c>
      <c r="H126" s="508" t="s">
        <v>4867</v>
      </c>
      <c r="I126" s="2" t="s">
        <v>4868</v>
      </c>
      <c r="J126" s="507" t="s">
        <v>4869</v>
      </c>
      <c r="K126" s="507" t="s">
        <v>4870</v>
      </c>
      <c r="L126" s="507" t="s">
        <v>4871</v>
      </c>
      <c r="M126" s="507" t="s">
        <v>4872</v>
      </c>
      <c r="N126" s="507" t="s">
        <v>4873</v>
      </c>
    </row>
    <row r="127" spans="1:14" x14ac:dyDescent="0.3">
      <c r="A127" s="2" t="s">
        <v>4874</v>
      </c>
      <c r="B127" s="506" t="str">
        <f t="shared" si="4"/>
        <v>Nombre de salariés</v>
      </c>
      <c r="C127" s="2" t="s">
        <v>4875</v>
      </c>
      <c r="D127" s="501" t="s">
        <v>4876</v>
      </c>
      <c r="E127" s="501" t="s">
        <v>4877</v>
      </c>
      <c r="F127" s="501" t="s">
        <v>4878</v>
      </c>
      <c r="G127" s="508" t="s">
        <v>4879</v>
      </c>
      <c r="H127" s="508" t="s">
        <v>4880</v>
      </c>
      <c r="I127" s="2" t="s">
        <v>4881</v>
      </c>
      <c r="J127" s="507" t="s">
        <v>4882</v>
      </c>
      <c r="K127" s="507" t="s">
        <v>4883</v>
      </c>
      <c r="L127" s="507" t="s">
        <v>4884</v>
      </c>
      <c r="M127" s="507" t="s">
        <v>4885</v>
      </c>
      <c r="N127" s="507" t="s">
        <v>4886</v>
      </c>
    </row>
    <row r="128" spans="1:14" ht="43.2" x14ac:dyDescent="0.3">
      <c r="A128" s="2" t="s">
        <v>4887</v>
      </c>
      <c r="B128" s="506" t="str">
        <f t="shared" si="4"/>
        <v>Méthodologie de comptage des salariés (à la fin de la période de reporting, ou en moyenne pendant la période de reporting)</v>
      </c>
      <c r="C128" s="2" t="s">
        <v>4888</v>
      </c>
      <c r="D128" s="501" t="s">
        <v>4889</v>
      </c>
      <c r="E128" s="501" t="s">
        <v>4890</v>
      </c>
      <c r="F128" s="501" t="s">
        <v>4891</v>
      </c>
      <c r="G128" s="508" t="s">
        <v>4892</v>
      </c>
      <c r="H128" s="508" t="s">
        <v>4893</v>
      </c>
      <c r="I128" s="2" t="s">
        <v>4894</v>
      </c>
      <c r="J128" s="507" t="s">
        <v>4895</v>
      </c>
      <c r="K128" s="507" t="s">
        <v>4896</v>
      </c>
      <c r="L128" s="507" t="s">
        <v>4897</v>
      </c>
      <c r="M128" s="507" t="s">
        <v>4898</v>
      </c>
      <c r="N128" s="507" t="s">
        <v>4899</v>
      </c>
    </row>
    <row r="129" spans="1:14" ht="28.8" x14ac:dyDescent="0.3">
      <c r="A129" s="2" t="s">
        <v>4900</v>
      </c>
      <c r="B129" s="506" t="str">
        <f t="shared" si="4"/>
        <v>Méthodologie de comptage des salariés (effectif ou équivalent temps plein)</v>
      </c>
      <c r="C129" s="2" t="s">
        <v>4901</v>
      </c>
      <c r="D129" s="501" t="s">
        <v>4902</v>
      </c>
      <c r="E129" s="501" t="s">
        <v>4903</v>
      </c>
      <c r="F129" s="501" t="s">
        <v>4904</v>
      </c>
      <c r="G129" s="508" t="s">
        <v>4905</v>
      </c>
      <c r="H129" s="508" t="s">
        <v>4906</v>
      </c>
      <c r="I129" s="2" t="s">
        <v>4907</v>
      </c>
      <c r="J129" s="507" t="s">
        <v>4908</v>
      </c>
      <c r="K129" s="507" t="s">
        <v>4909</v>
      </c>
      <c r="L129" s="507" t="s">
        <v>4910</v>
      </c>
      <c r="M129" s="507" t="s">
        <v>4911</v>
      </c>
      <c r="N129" s="507" t="s">
        <v>4912</v>
      </c>
    </row>
    <row r="130" spans="1:14" ht="29.4" thickBot="1" x14ac:dyDescent="0.35">
      <c r="A130" s="513" t="s">
        <v>4913</v>
      </c>
      <c r="B130" s="510" t="str">
        <f t="shared" si="4"/>
        <v>Pays où sont exercées les activités principales et localisation d'un ou de plusieurs actifs présentant un intérêt significatif</v>
      </c>
      <c r="C130" s="513" t="s">
        <v>4914</v>
      </c>
      <c r="D130" s="509" t="s">
        <v>4915</v>
      </c>
      <c r="E130" s="509" t="s">
        <v>4916</v>
      </c>
      <c r="F130" s="509" t="s">
        <v>4917</v>
      </c>
      <c r="G130" s="512" t="s">
        <v>4918</v>
      </c>
      <c r="H130" s="512" t="s">
        <v>4919</v>
      </c>
      <c r="I130" s="513" t="s">
        <v>4920</v>
      </c>
      <c r="J130" s="511" t="s">
        <v>4921</v>
      </c>
      <c r="K130" s="511" t="s">
        <v>4922</v>
      </c>
      <c r="L130" s="511" t="s">
        <v>4923</v>
      </c>
      <c r="M130" s="511" t="s">
        <v>4924</v>
      </c>
      <c r="N130" s="511" t="s">
        <v>4925</v>
      </c>
    </row>
    <row r="131" spans="1:14" x14ac:dyDescent="0.3">
      <c r="A131" s="2" t="s">
        <v>4926</v>
      </c>
      <c r="B131" s="506" t="str">
        <f t="shared" si="4"/>
        <v>B1 - Liste des filiales</v>
      </c>
      <c r="C131" s="2" t="s">
        <v>4927</v>
      </c>
      <c r="D131" s="501" t="s">
        <v>4928</v>
      </c>
      <c r="E131" s="501" t="s">
        <v>4929</v>
      </c>
      <c r="F131" s="501" t="s">
        <v>4930</v>
      </c>
      <c r="G131" s="508" t="s">
        <v>4931</v>
      </c>
      <c r="H131" s="508" t="s">
        <v>4932</v>
      </c>
      <c r="I131" s="2" t="s">
        <v>4933</v>
      </c>
      <c r="J131" s="507" t="s">
        <v>4934</v>
      </c>
      <c r="K131" s="507" t="s">
        <v>4935</v>
      </c>
      <c r="L131" s="507" t="s">
        <v>4936</v>
      </c>
      <c r="M131" s="507" t="s">
        <v>4937</v>
      </c>
      <c r="N131" s="507" t="s">
        <v>4938</v>
      </c>
    </row>
    <row r="132" spans="1:14" x14ac:dyDescent="0.3">
      <c r="A132" s="2" t="s">
        <v>4939</v>
      </c>
      <c r="B132" s="506" t="str">
        <f t="shared" si="4"/>
        <v>ID</v>
      </c>
      <c r="C132" s="2" t="s">
        <v>4940</v>
      </c>
      <c r="D132" s="501" t="s">
        <v>4940</v>
      </c>
      <c r="E132" s="501" t="s">
        <v>4940</v>
      </c>
      <c r="F132" s="501" t="s">
        <v>4940</v>
      </c>
      <c r="G132" s="508" t="s">
        <v>4941</v>
      </c>
      <c r="H132" s="508" t="s">
        <v>4942</v>
      </c>
      <c r="I132" s="2" t="s">
        <v>4940</v>
      </c>
      <c r="J132" s="507" t="s">
        <v>4940</v>
      </c>
      <c r="K132" s="507" t="s">
        <v>4940</v>
      </c>
      <c r="L132" s="507" t="s">
        <v>4940</v>
      </c>
      <c r="M132" s="507" t="s">
        <v>4940</v>
      </c>
      <c r="N132" s="507" t="s">
        <v>4940</v>
      </c>
    </row>
    <row r="133" spans="1:14" x14ac:dyDescent="0.3">
      <c r="A133" s="2" t="s">
        <v>4943</v>
      </c>
      <c r="B133" s="506" t="str">
        <f t="shared" si="4"/>
        <v>Nom</v>
      </c>
      <c r="C133" s="2" t="s">
        <v>4944</v>
      </c>
      <c r="D133" s="501" t="s">
        <v>4945</v>
      </c>
      <c r="E133" s="501" t="s">
        <v>4946</v>
      </c>
      <c r="F133" s="501" t="s">
        <v>4947</v>
      </c>
      <c r="G133" s="508" t="s">
        <v>4944</v>
      </c>
      <c r="H133" s="508" t="s">
        <v>4948</v>
      </c>
      <c r="I133" s="2" t="s">
        <v>4949</v>
      </c>
      <c r="J133" s="507" t="s">
        <v>4950</v>
      </c>
      <c r="K133" s="507" t="s">
        <v>4951</v>
      </c>
      <c r="L133" s="507" t="s">
        <v>4949</v>
      </c>
      <c r="M133" s="507" t="s">
        <v>4952</v>
      </c>
      <c r="N133" s="507" t="s">
        <v>4953</v>
      </c>
    </row>
    <row r="134" spans="1:14" ht="29.4" thickBot="1" x14ac:dyDescent="0.35">
      <c r="A134" s="513" t="s">
        <v>4954</v>
      </c>
      <c r="B134" s="510" t="str">
        <f t="shared" si="4"/>
        <v>Adresse du siège social</v>
      </c>
      <c r="C134" s="513" t="s">
        <v>4955</v>
      </c>
      <c r="D134" s="509" t="s">
        <v>4956</v>
      </c>
      <c r="E134" s="509" t="s">
        <v>4957</v>
      </c>
      <c r="F134" s="509" t="s">
        <v>4958</v>
      </c>
      <c r="G134" s="512" t="s">
        <v>4959</v>
      </c>
      <c r="H134" s="512" t="s">
        <v>4960</v>
      </c>
      <c r="I134" s="513" t="s">
        <v>4961</v>
      </c>
      <c r="J134" s="511" t="s">
        <v>4962</v>
      </c>
      <c r="K134" s="511" t="s">
        <v>4963</v>
      </c>
      <c r="L134" s="511" t="s">
        <v>4964</v>
      </c>
      <c r="M134" s="511" t="s">
        <v>4965</v>
      </c>
      <c r="N134" s="511" t="s">
        <v>4966</v>
      </c>
    </row>
    <row r="135" spans="1:14" ht="28.8" x14ac:dyDescent="0.3">
      <c r="A135" s="2" t="s">
        <v>4967</v>
      </c>
      <c r="B135" s="506" t="str">
        <f t="shared" si="4"/>
        <v>B1 - Publication de la ou des certification(s) ou label(s) liés à la durabilité</v>
      </c>
      <c r="C135" s="2" t="s">
        <v>4968</v>
      </c>
      <c r="D135" s="501" t="s">
        <v>4969</v>
      </c>
      <c r="E135" s="501" t="s">
        <v>4970</v>
      </c>
      <c r="F135" s="501" t="s">
        <v>4971</v>
      </c>
      <c r="G135" s="508" t="s">
        <v>4972</v>
      </c>
      <c r="H135" s="508" t="s">
        <v>4973</v>
      </c>
      <c r="I135" s="2" t="s">
        <v>4974</v>
      </c>
      <c r="J135" s="507" t="s">
        <v>4975</v>
      </c>
      <c r="K135" s="507" t="s">
        <v>4976</v>
      </c>
      <c r="L135" s="507" t="s">
        <v>4977</v>
      </c>
      <c r="M135" s="507" t="s">
        <v>4978</v>
      </c>
      <c r="N135" s="507" t="s">
        <v>4979</v>
      </c>
    </row>
    <row r="136" spans="1:14" ht="43.2" x14ac:dyDescent="0.3">
      <c r="A136" s="2" t="s">
        <v>4980</v>
      </c>
      <c r="B136" s="506" t="str">
        <f t="shared" si="4"/>
        <v>L'entreprise a-t-elle obtenu une ou plusieurs certification(s) ou label(s) liés à la durabilité ?</v>
      </c>
      <c r="C136" s="2" t="s">
        <v>4981</v>
      </c>
      <c r="D136" s="501" t="s">
        <v>4982</v>
      </c>
      <c r="E136" s="501" t="s">
        <v>4983</v>
      </c>
      <c r="F136" s="501" t="s">
        <v>4984</v>
      </c>
      <c r="G136" s="508" t="s">
        <v>4985</v>
      </c>
      <c r="H136" s="508" t="s">
        <v>4986</v>
      </c>
      <c r="I136" s="2" t="s">
        <v>4987</v>
      </c>
      <c r="J136" s="507" t="s">
        <v>4988</v>
      </c>
      <c r="K136" s="507" t="s">
        <v>4989</v>
      </c>
      <c r="L136" s="507" t="s">
        <v>4990</v>
      </c>
      <c r="M136" s="507" t="s">
        <v>4991</v>
      </c>
      <c r="N136" s="507" t="s">
        <v>4992</v>
      </c>
    </row>
    <row r="137" spans="1:14" ht="72.599999999999994" thickBot="1" x14ac:dyDescent="0.35">
      <c r="A137" s="513" t="s">
        <v>4993</v>
      </c>
      <c r="B137" s="510" t="str">
        <f t="shared" si="4"/>
        <v>Si l’entreprise a obtenu une certification ou un label lié à la durabilité, elle en fournit une brève description (y compris, le cas échéant, les organismes qui délivrent la certification ou le label, la date et la notation).</v>
      </c>
      <c r="C137" s="513" t="s">
        <v>4994</v>
      </c>
      <c r="D137" s="509" t="s">
        <v>4995</v>
      </c>
      <c r="E137" s="509" t="s">
        <v>4996</v>
      </c>
      <c r="F137" s="509" t="s">
        <v>4997</v>
      </c>
      <c r="G137" s="512" t="s">
        <v>4998</v>
      </c>
      <c r="H137" s="512" t="s">
        <v>4999</v>
      </c>
      <c r="I137" s="513" t="s">
        <v>5000</v>
      </c>
      <c r="J137" s="511" t="s">
        <v>5001</v>
      </c>
      <c r="K137" s="511" t="s">
        <v>5002</v>
      </c>
      <c r="L137" s="511" t="s">
        <v>5003</v>
      </c>
      <c r="M137" s="511" t="s">
        <v>5004</v>
      </c>
      <c r="N137" s="511" t="s">
        <v>5005</v>
      </c>
    </row>
    <row r="138" spans="1:14" ht="28.8" x14ac:dyDescent="0.3">
      <c r="A138" s="2" t="s">
        <v>5006</v>
      </c>
      <c r="B138" s="506" t="str">
        <f t="shared" si="4"/>
        <v>B1 - Liste des site(s)</v>
      </c>
      <c r="C138" s="2" t="s">
        <v>5007</v>
      </c>
      <c r="D138" s="501" t="s">
        <v>5008</v>
      </c>
      <c r="E138" s="501" t="s">
        <v>5009</v>
      </c>
      <c r="F138" s="501" t="s">
        <v>5010</v>
      </c>
      <c r="G138" s="508" t="s">
        <v>5011</v>
      </c>
      <c r="H138" s="508" t="s">
        <v>5012</v>
      </c>
      <c r="I138" s="2" t="s">
        <v>5013</v>
      </c>
      <c r="J138" s="507" t="s">
        <v>5014</v>
      </c>
      <c r="K138" s="507" t="s">
        <v>5015</v>
      </c>
      <c r="L138" s="507" t="s">
        <v>5016</v>
      </c>
      <c r="M138" s="507" t="s">
        <v>5017</v>
      </c>
      <c r="N138" s="507" t="s">
        <v>5018</v>
      </c>
    </row>
    <row r="139" spans="1:14" x14ac:dyDescent="0.3">
      <c r="A139" s="2" t="s">
        <v>5019</v>
      </c>
      <c r="B139" s="506" t="str">
        <f t="shared" si="4"/>
        <v>Adresse</v>
      </c>
      <c r="C139" s="2" t="s">
        <v>5020</v>
      </c>
      <c r="D139" s="501" t="s">
        <v>5021</v>
      </c>
      <c r="E139" s="501" t="s">
        <v>5022</v>
      </c>
      <c r="F139" s="501" t="s">
        <v>5021</v>
      </c>
      <c r="G139" s="508" t="s">
        <v>5021</v>
      </c>
      <c r="H139" s="508" t="s">
        <v>5023</v>
      </c>
      <c r="I139" s="2" t="s">
        <v>5024</v>
      </c>
      <c r="J139" s="507" t="s">
        <v>5025</v>
      </c>
      <c r="K139" s="507" t="s">
        <v>5022</v>
      </c>
      <c r="L139" s="507" t="s">
        <v>5026</v>
      </c>
      <c r="M139" s="507" t="s">
        <v>5027</v>
      </c>
      <c r="N139" s="507" t="s">
        <v>5028</v>
      </c>
    </row>
    <row r="140" spans="1:14" x14ac:dyDescent="0.3">
      <c r="A140" s="2" t="s">
        <v>5029</v>
      </c>
      <c r="B140" s="506" t="str">
        <f t="shared" si="4"/>
        <v>Code postal</v>
      </c>
      <c r="C140" s="2" t="s">
        <v>5030</v>
      </c>
      <c r="D140" s="501" t="s">
        <v>5031</v>
      </c>
      <c r="E140" s="501" t="s">
        <v>5032</v>
      </c>
      <c r="F140" s="501" t="s">
        <v>5033</v>
      </c>
      <c r="G140" s="508" t="s">
        <v>5034</v>
      </c>
      <c r="H140" s="508" t="s">
        <v>5035</v>
      </c>
      <c r="I140" s="2" t="s">
        <v>5036</v>
      </c>
      <c r="J140" s="507" t="s">
        <v>5037</v>
      </c>
      <c r="K140" s="507" t="s">
        <v>5038</v>
      </c>
      <c r="L140" s="507" t="s">
        <v>5039</v>
      </c>
      <c r="M140" s="507" t="s">
        <v>5040</v>
      </c>
      <c r="N140" s="507" t="s">
        <v>5039</v>
      </c>
    </row>
    <row r="141" spans="1:14" ht="43.2" x14ac:dyDescent="0.3">
      <c r="A141" s="2" t="s">
        <v>5041</v>
      </c>
      <c r="B141" s="506" t="str">
        <f t="shared" si="4"/>
        <v>Ville</v>
      </c>
      <c r="C141" s="2" t="s">
        <v>5042</v>
      </c>
      <c r="D141" s="501" t="s">
        <v>5043</v>
      </c>
      <c r="E141" s="501" t="s">
        <v>5044</v>
      </c>
      <c r="F141" s="501" t="s">
        <v>5045</v>
      </c>
      <c r="G141" s="508" t="s">
        <v>5046</v>
      </c>
      <c r="H141" s="508" t="s">
        <v>5047</v>
      </c>
      <c r="I141" s="2" t="s">
        <v>5048</v>
      </c>
      <c r="J141" s="507" t="s">
        <v>5049</v>
      </c>
      <c r="K141" s="507" t="s">
        <v>5050</v>
      </c>
      <c r="L141" s="507" t="s">
        <v>5051</v>
      </c>
      <c r="M141" s="507" t="s">
        <v>5052</v>
      </c>
      <c r="N141" s="507" t="s">
        <v>5053</v>
      </c>
    </row>
    <row r="142" spans="1:14" x14ac:dyDescent="0.3">
      <c r="A142" s="2" t="s">
        <v>5054</v>
      </c>
      <c r="B142" s="506" t="str">
        <f t="shared" si="4"/>
        <v>Pays</v>
      </c>
      <c r="C142" s="2" t="s">
        <v>5055</v>
      </c>
      <c r="D142" s="501" t="s">
        <v>5056</v>
      </c>
      <c r="E142" s="501" t="s">
        <v>5056</v>
      </c>
      <c r="F142" s="501" t="s">
        <v>5057</v>
      </c>
      <c r="G142" s="508" t="s">
        <v>5056</v>
      </c>
      <c r="H142" s="508" t="s">
        <v>5058</v>
      </c>
      <c r="I142" s="2" t="s">
        <v>5059</v>
      </c>
      <c r="J142" s="507" t="s">
        <v>5060</v>
      </c>
      <c r="K142" s="507" t="s">
        <v>5061</v>
      </c>
      <c r="L142" s="507" t="s">
        <v>5062</v>
      </c>
      <c r="M142" s="507" t="s">
        <v>5063</v>
      </c>
      <c r="N142" s="507" t="s">
        <v>5062</v>
      </c>
    </row>
    <row r="143" spans="1:14" x14ac:dyDescent="0.3">
      <c r="A143" s="2" t="s">
        <v>5064</v>
      </c>
      <c r="B143" s="506" t="str">
        <f t="shared" si="4"/>
        <v>Coordonnées (géolocalisation)</v>
      </c>
      <c r="C143" s="2" t="s">
        <v>5065</v>
      </c>
      <c r="D143" s="501" t="s">
        <v>5066</v>
      </c>
      <c r="E143" s="501" t="s">
        <v>5067</v>
      </c>
      <c r="F143" s="501" t="s">
        <v>5068</v>
      </c>
      <c r="G143" s="508" t="s">
        <v>5069</v>
      </c>
      <c r="H143" s="508" t="s">
        <v>5070</v>
      </c>
      <c r="I143" s="2" t="s">
        <v>5071</v>
      </c>
      <c r="J143" s="507" t="s">
        <v>5072</v>
      </c>
      <c r="K143" s="507" t="s">
        <v>5073</v>
      </c>
      <c r="L143" s="507" t="s">
        <v>5074</v>
      </c>
      <c r="M143" s="507" t="s">
        <v>5075</v>
      </c>
      <c r="N143" s="507" t="s">
        <v>5076</v>
      </c>
    </row>
    <row r="144" spans="1:14" ht="13.95" customHeight="1" thickBot="1" x14ac:dyDescent="0.35">
      <c r="A144" s="513" t="s">
        <v>5077</v>
      </c>
      <c r="B144" s="510" t="str">
        <f t="shared" si="4"/>
        <v>Géolocalisation automatique : en activant la géolocalisation automatique d'OpenStreetMap avec la case à cocher ci-dessous, l'entreprise déclare être pleinement consciente et accepter la politique d'utilisation de Nominatim ainsi que la politique de confidentialité.
OpenStreetMap® est une base de données ouverte sous licence Open Data Commons Open Database License (ODbL) par la Fondation OpenStreetMap (OSMF). Toutes les données appartiennent et sont la propriété d'OpenStreetMap®.</v>
      </c>
      <c r="C144" s="513" t="s">
        <v>5078</v>
      </c>
      <c r="D144" s="509" t="s">
        <v>5079</v>
      </c>
      <c r="E144" s="509" t="s">
        <v>5080</v>
      </c>
      <c r="F144" s="509" t="s">
        <v>5081</v>
      </c>
      <c r="G144" s="512" t="s">
        <v>5082</v>
      </c>
      <c r="H144" s="512" t="s">
        <v>5083</v>
      </c>
      <c r="I144" s="513" t="s">
        <v>5084</v>
      </c>
      <c r="J144" s="511" t="s">
        <v>5085</v>
      </c>
      <c r="K144" s="511" t="s">
        <v>5086</v>
      </c>
      <c r="L144" s="511" t="s">
        <v>5087</v>
      </c>
      <c r="M144" s="511" t="s">
        <v>5088</v>
      </c>
      <c r="N144" s="511" t="s">
        <v>5089</v>
      </c>
    </row>
    <row r="145" spans="1:14" ht="28.8" x14ac:dyDescent="0.3">
      <c r="A145" s="2" t="s">
        <v>5090</v>
      </c>
      <c r="B145" s="506" t="str">
        <f t="shared" si="4"/>
        <v>B2 – Pratiques, politiques et initiatives futures en vue de la transition vers une économie plus durable</v>
      </c>
      <c r="C145" s="2" t="s">
        <v>5091</v>
      </c>
      <c r="D145" s="501" t="s">
        <v>5092</v>
      </c>
      <c r="E145" s="501" t="s">
        <v>5093</v>
      </c>
      <c r="F145" s="501" t="s">
        <v>5094</v>
      </c>
      <c r="G145" s="508" t="s">
        <v>5095</v>
      </c>
      <c r="H145" s="508" t="s">
        <v>5096</v>
      </c>
      <c r="I145" s="2" t="s">
        <v>5097</v>
      </c>
      <c r="J145" s="507" t="s">
        <v>5098</v>
      </c>
      <c r="K145" s="507" t="s">
        <v>5099</v>
      </c>
      <c r="L145" s="507" t="s">
        <v>5100</v>
      </c>
      <c r="M145" s="507" t="s">
        <v>5101</v>
      </c>
      <c r="N145" s="507" t="s">
        <v>5102</v>
      </c>
    </row>
    <row r="146" spans="1:14" ht="43.2" x14ac:dyDescent="0.3">
      <c r="A146" s="2" t="s">
        <v>5103</v>
      </c>
      <c r="B146" s="506" t="str">
        <f t="shared" si="4"/>
        <v>L’entreprise a-t-elle mis en place des pratiques, des politiques ou des initiatives futures spécifiques en vue de la transition vers une économie plus durable ?</v>
      </c>
      <c r="C146" s="2" t="s">
        <v>5104</v>
      </c>
      <c r="D146" s="501" t="s">
        <v>5105</v>
      </c>
      <c r="E146" s="501" t="s">
        <v>5106</v>
      </c>
      <c r="F146" s="501" t="s">
        <v>5107</v>
      </c>
      <c r="G146" s="508" t="s">
        <v>5108</v>
      </c>
      <c r="H146" s="508" t="s">
        <v>5109</v>
      </c>
      <c r="I146" s="2" t="s">
        <v>5110</v>
      </c>
      <c r="J146" s="507" t="s">
        <v>5111</v>
      </c>
      <c r="K146" s="507" t="s">
        <v>5112</v>
      </c>
      <c r="L146" s="507" t="s">
        <v>5113</v>
      </c>
      <c r="M146" s="507" t="s">
        <v>5114</v>
      </c>
      <c r="N146" s="507" t="s">
        <v>5115</v>
      </c>
    </row>
    <row r="147" spans="1:14" ht="57.6" x14ac:dyDescent="0.3">
      <c r="A147" s="2" t="s">
        <v>5116</v>
      </c>
      <c r="B147" s="506" t="str">
        <f t="shared" si="4"/>
        <v>Enjeux de durabilité traités par des pratiques, politiques, et/ou initiatives futures mises en place par l’entreprise</v>
      </c>
      <c r="C147" s="2" t="s">
        <v>5117</v>
      </c>
      <c r="D147" s="501" t="s">
        <v>5118</v>
      </c>
      <c r="E147" s="501" t="s">
        <v>5119</v>
      </c>
      <c r="F147" s="501" t="s">
        <v>5120</v>
      </c>
      <c r="G147" s="508" t="s">
        <v>5121</v>
      </c>
      <c r="H147" s="508" t="s">
        <v>5122</v>
      </c>
      <c r="I147" s="2" t="s">
        <v>5123</v>
      </c>
      <c r="J147" s="507" t="s">
        <v>5124</v>
      </c>
      <c r="K147" s="507" t="s">
        <v>5125</v>
      </c>
      <c r="L147" s="507" t="s">
        <v>5126</v>
      </c>
      <c r="M147" s="507" t="s">
        <v>5127</v>
      </c>
      <c r="N147" s="507" t="s">
        <v>5128</v>
      </c>
    </row>
    <row r="148" spans="1:14" ht="57.6" x14ac:dyDescent="0.3">
      <c r="A148" s="2" t="s">
        <v>5129</v>
      </c>
      <c r="B148" s="506" t="str">
        <f t="shared" si="4"/>
        <v>L'entreprise dispose d'une pratique, d'une politique et/ou d'une initiative future qui est accessible au public.</v>
      </c>
      <c r="C148" s="2" t="s">
        <v>5130</v>
      </c>
      <c r="D148" s="501" t="s">
        <v>5131</v>
      </c>
      <c r="E148" s="501" t="s">
        <v>5132</v>
      </c>
      <c r="F148" s="501" t="s">
        <v>5133</v>
      </c>
      <c r="G148" s="508" t="s">
        <v>5134</v>
      </c>
      <c r="H148" s="508" t="s">
        <v>5135</v>
      </c>
      <c r="I148" s="2" t="s">
        <v>5136</v>
      </c>
      <c r="J148" s="507" t="s">
        <v>5137</v>
      </c>
      <c r="K148" s="507" t="s">
        <v>5138</v>
      </c>
      <c r="L148" s="507" t="s">
        <v>5139</v>
      </c>
      <c r="M148" s="507" t="s">
        <v>5140</v>
      </c>
      <c r="N148" s="507" t="s">
        <v>5141</v>
      </c>
    </row>
    <row r="149" spans="1:14" ht="28.8" x14ac:dyDescent="0.3">
      <c r="A149" s="2" t="s">
        <v>5142</v>
      </c>
      <c r="B149" s="506" t="str">
        <f t="shared" si="4"/>
        <v xml:space="preserve">L’entreprise a fixé une cible qui est liée à une politique. </v>
      </c>
      <c r="C149" s="2" t="s">
        <v>5143</v>
      </c>
      <c r="D149" s="501" t="s">
        <v>5144</v>
      </c>
      <c r="E149" s="501" t="s">
        <v>5145</v>
      </c>
      <c r="F149" s="501" t="s">
        <v>5146</v>
      </c>
      <c r="G149" s="508" t="s">
        <v>5147</v>
      </c>
      <c r="H149" s="508" t="s">
        <v>5148</v>
      </c>
      <c r="I149" s="2" t="s">
        <v>5149</v>
      </c>
      <c r="J149" s="507" t="s">
        <v>5150</v>
      </c>
      <c r="K149" s="507" t="s">
        <v>5151</v>
      </c>
      <c r="L149" s="507" t="s">
        <v>5152</v>
      </c>
      <c r="M149" s="507" t="s">
        <v>5153</v>
      </c>
      <c r="N149" s="507" t="s">
        <v>5154</v>
      </c>
    </row>
    <row r="150" spans="1:14" x14ac:dyDescent="0.3">
      <c r="A150" s="2" t="s">
        <v>5155</v>
      </c>
      <c r="B150" s="506" t="str">
        <f t="shared" si="4"/>
        <v>Changement climatique</v>
      </c>
      <c r="C150" s="2" t="s">
        <v>326</v>
      </c>
      <c r="D150" s="501" t="s">
        <v>5156</v>
      </c>
      <c r="E150" s="501" t="s">
        <v>5157</v>
      </c>
      <c r="F150" s="501" t="s">
        <v>5158</v>
      </c>
      <c r="G150" s="508" t="s">
        <v>5159</v>
      </c>
      <c r="H150" s="508" t="s">
        <v>5160</v>
      </c>
      <c r="I150" s="2" t="s">
        <v>5161</v>
      </c>
      <c r="J150" s="507" t="s">
        <v>5162</v>
      </c>
      <c r="K150" s="507" t="s">
        <v>5163</v>
      </c>
      <c r="L150" s="507" t="s">
        <v>5164</v>
      </c>
      <c r="M150" s="507" t="s">
        <v>5165</v>
      </c>
      <c r="N150" s="507" t="s">
        <v>5166</v>
      </c>
    </row>
    <row r="151" spans="1:14" x14ac:dyDescent="0.3">
      <c r="A151" s="2" t="s">
        <v>5167</v>
      </c>
      <c r="B151" s="506" t="str">
        <f t="shared" si="4"/>
        <v>Pollution</v>
      </c>
      <c r="C151" s="2" t="s">
        <v>348</v>
      </c>
      <c r="D151" s="501" t="s">
        <v>5168</v>
      </c>
      <c r="E151" s="501" t="s">
        <v>5169</v>
      </c>
      <c r="F151" s="501" t="s">
        <v>348</v>
      </c>
      <c r="G151" s="508" t="s">
        <v>5170</v>
      </c>
      <c r="H151" s="508" t="s">
        <v>5171</v>
      </c>
      <c r="I151" s="2" t="s">
        <v>5172</v>
      </c>
      <c r="J151" s="507" t="s">
        <v>5173</v>
      </c>
      <c r="K151" s="507" t="s">
        <v>5174</v>
      </c>
      <c r="L151" s="507" t="s">
        <v>5175</v>
      </c>
      <c r="M151" s="507" t="s">
        <v>5176</v>
      </c>
      <c r="N151" s="507" t="s">
        <v>5177</v>
      </c>
    </row>
    <row r="152" spans="1:14" x14ac:dyDescent="0.3">
      <c r="A152" s="2" t="s">
        <v>5178</v>
      </c>
      <c r="B152" s="506" t="str">
        <f t="shared" si="4"/>
        <v>Ressources hydriques et marines</v>
      </c>
      <c r="C152" s="2" t="s">
        <v>369</v>
      </c>
      <c r="D152" s="501" t="s">
        <v>5179</v>
      </c>
      <c r="E152" s="501" t="s">
        <v>5180</v>
      </c>
      <c r="F152" s="501" t="s">
        <v>5181</v>
      </c>
      <c r="G152" s="508" t="s">
        <v>5182</v>
      </c>
      <c r="H152" s="508" t="s">
        <v>5183</v>
      </c>
      <c r="I152" s="2" t="s">
        <v>5184</v>
      </c>
      <c r="J152" s="507" t="s">
        <v>5185</v>
      </c>
      <c r="K152" s="507" t="s">
        <v>5186</v>
      </c>
      <c r="L152" s="507" t="s">
        <v>5187</v>
      </c>
      <c r="M152" s="507" t="s">
        <v>5188</v>
      </c>
      <c r="N152" s="507" t="s">
        <v>5189</v>
      </c>
    </row>
    <row r="153" spans="1:14" x14ac:dyDescent="0.3">
      <c r="A153" s="2" t="s">
        <v>5190</v>
      </c>
      <c r="B153" s="506" t="str">
        <f t="shared" si="4"/>
        <v>Biodiversité et écosystèmes</v>
      </c>
      <c r="C153" s="2" t="s">
        <v>382</v>
      </c>
      <c r="D153" s="501" t="s">
        <v>5191</v>
      </c>
      <c r="E153" s="501" t="s">
        <v>5192</v>
      </c>
      <c r="F153" s="501" t="s">
        <v>5193</v>
      </c>
      <c r="G153" s="508" t="s">
        <v>5194</v>
      </c>
      <c r="H153" s="508" t="s">
        <v>5195</v>
      </c>
      <c r="I153" s="2" t="s">
        <v>5196</v>
      </c>
      <c r="J153" s="507" t="s">
        <v>5197</v>
      </c>
      <c r="K153" s="507" t="s">
        <v>5198</v>
      </c>
      <c r="L153" s="507" t="s">
        <v>5199</v>
      </c>
      <c r="M153" s="507" t="s">
        <v>5200</v>
      </c>
      <c r="N153" s="507" t="s">
        <v>5201</v>
      </c>
    </row>
    <row r="154" spans="1:14" x14ac:dyDescent="0.3">
      <c r="A154" s="2" t="s">
        <v>5202</v>
      </c>
      <c r="B154" s="506" t="str">
        <f t="shared" si="4"/>
        <v>Économie circulaire</v>
      </c>
      <c r="C154" s="2" t="s">
        <v>395</v>
      </c>
      <c r="D154" s="501" t="s">
        <v>5203</v>
      </c>
      <c r="E154" s="501" t="s">
        <v>5204</v>
      </c>
      <c r="F154" s="501" t="s">
        <v>5205</v>
      </c>
      <c r="G154" s="508" t="s">
        <v>5206</v>
      </c>
      <c r="H154" s="508" t="s">
        <v>5207</v>
      </c>
      <c r="I154" s="2" t="s">
        <v>5208</v>
      </c>
      <c r="J154" s="507" t="s">
        <v>5209</v>
      </c>
      <c r="K154" s="507" t="s">
        <v>5210</v>
      </c>
      <c r="L154" s="507" t="s">
        <v>5211</v>
      </c>
      <c r="M154" s="507" t="s">
        <v>5212</v>
      </c>
      <c r="N154" s="507" t="s">
        <v>5213</v>
      </c>
    </row>
    <row r="155" spans="1:14" x14ac:dyDescent="0.3">
      <c r="A155" s="2" t="s">
        <v>5214</v>
      </c>
      <c r="B155" s="506" t="str">
        <f t="shared" si="4"/>
        <v>Personnel de l'entreprise</v>
      </c>
      <c r="C155" s="2" t="s">
        <v>406</v>
      </c>
      <c r="D155" s="501" t="s">
        <v>5215</v>
      </c>
      <c r="E155" s="501" t="s">
        <v>5216</v>
      </c>
      <c r="F155" s="501" t="s">
        <v>5217</v>
      </c>
      <c r="G155" s="508" t="s">
        <v>5218</v>
      </c>
      <c r="H155" s="508" t="s">
        <v>5219</v>
      </c>
      <c r="I155" s="2" t="s">
        <v>5220</v>
      </c>
      <c r="J155" s="507" t="s">
        <v>5221</v>
      </c>
      <c r="K155" s="507" t="s">
        <v>5222</v>
      </c>
      <c r="L155" s="507" t="s">
        <v>5223</v>
      </c>
      <c r="M155" s="507" t="s">
        <v>5224</v>
      </c>
      <c r="N155" s="507" t="s">
        <v>5225</v>
      </c>
    </row>
    <row r="156" spans="1:14" ht="43.2" x14ac:dyDescent="0.3">
      <c r="A156" s="2" t="s">
        <v>5226</v>
      </c>
      <c r="B156" s="506" t="str">
        <f t="shared" si="4"/>
        <v>Travailleurs de la chaîne de valeur</v>
      </c>
      <c r="C156" s="2" t="s">
        <v>417</v>
      </c>
      <c r="D156" s="501" t="s">
        <v>5227</v>
      </c>
      <c r="E156" s="501" t="s">
        <v>5228</v>
      </c>
      <c r="F156" s="501" t="s">
        <v>5229</v>
      </c>
      <c r="G156" s="508" t="s">
        <v>5230</v>
      </c>
      <c r="H156" s="508" t="s">
        <v>5231</v>
      </c>
      <c r="I156" s="2" t="s">
        <v>5232</v>
      </c>
      <c r="J156" s="507" t="s">
        <v>5233</v>
      </c>
      <c r="K156" s="507" t="s">
        <v>5234</v>
      </c>
      <c r="L156" s="507" t="s">
        <v>5235</v>
      </c>
      <c r="M156" s="507" t="s">
        <v>5236</v>
      </c>
      <c r="N156" s="507" t="s">
        <v>5237</v>
      </c>
    </row>
    <row r="157" spans="1:14" ht="43.2" x14ac:dyDescent="0.3">
      <c r="A157" s="2" t="s">
        <v>5238</v>
      </c>
      <c r="B157" s="506" t="str">
        <f t="shared" si="4"/>
        <v>Communautés affectées</v>
      </c>
      <c r="C157" s="2" t="s">
        <v>428</v>
      </c>
      <c r="D157" s="501" t="s">
        <v>5239</v>
      </c>
      <c r="E157" s="501" t="s">
        <v>5240</v>
      </c>
      <c r="F157" s="501" t="s">
        <v>5241</v>
      </c>
      <c r="G157" s="508" t="s">
        <v>5242</v>
      </c>
      <c r="H157" s="508" t="s">
        <v>5243</v>
      </c>
      <c r="I157" s="2" t="s">
        <v>5244</v>
      </c>
      <c r="J157" s="507" t="s">
        <v>5245</v>
      </c>
      <c r="K157" s="507" t="s">
        <v>5246</v>
      </c>
      <c r="L157" s="507" t="s">
        <v>5247</v>
      </c>
      <c r="M157" s="507" t="s">
        <v>5248</v>
      </c>
      <c r="N157" s="507" t="s">
        <v>5249</v>
      </c>
    </row>
    <row r="158" spans="1:14" x14ac:dyDescent="0.3">
      <c r="A158" s="2" t="s">
        <v>5250</v>
      </c>
      <c r="B158" s="506" t="str">
        <f t="shared" si="4"/>
        <v>Consommateurs et utilisateurs finaux</v>
      </c>
      <c r="C158" s="2" t="s">
        <v>439</v>
      </c>
      <c r="D158" s="501" t="s">
        <v>5251</v>
      </c>
      <c r="E158" s="501" t="s">
        <v>5252</v>
      </c>
      <c r="F158" s="501" t="s">
        <v>5253</v>
      </c>
      <c r="G158" s="508" t="s">
        <v>5254</v>
      </c>
      <c r="H158" s="508" t="s">
        <v>5255</v>
      </c>
      <c r="I158" s="2" t="s">
        <v>5256</v>
      </c>
      <c r="J158" s="507" t="s">
        <v>5257</v>
      </c>
      <c r="K158" s="507" t="s">
        <v>5258</v>
      </c>
      <c r="L158" s="507" t="s">
        <v>5259</v>
      </c>
      <c r="M158" s="507" t="s">
        <v>5260</v>
      </c>
      <c r="N158" s="507" t="s">
        <v>5261</v>
      </c>
    </row>
    <row r="159" spans="1:14" ht="15" thickBot="1" x14ac:dyDescent="0.35">
      <c r="A159" s="513" t="s">
        <v>5262</v>
      </c>
      <c r="B159" s="510" t="str">
        <f t="shared" si="4"/>
        <v>Conduite des affaires</v>
      </c>
      <c r="C159" s="513" t="s">
        <v>450</v>
      </c>
      <c r="D159" s="509" t="s">
        <v>5263</v>
      </c>
      <c r="E159" s="509" t="s">
        <v>5264</v>
      </c>
      <c r="F159" s="509" t="s">
        <v>5265</v>
      </c>
      <c r="G159" s="512" t="s">
        <v>5266</v>
      </c>
      <c r="H159" s="512" t="s">
        <v>5267</v>
      </c>
      <c r="I159" s="513" t="s">
        <v>5268</v>
      </c>
      <c r="J159" s="511" t="s">
        <v>5269</v>
      </c>
      <c r="K159" s="511" t="s">
        <v>5270</v>
      </c>
      <c r="L159" s="511" t="s">
        <v>5271</v>
      </c>
      <c r="M159" s="511" t="s">
        <v>5272</v>
      </c>
      <c r="N159" s="511" t="s">
        <v>5273</v>
      </c>
    </row>
    <row r="160" spans="1:14" x14ac:dyDescent="0.3">
      <c r="A160" s="2" t="s">
        <v>5274</v>
      </c>
      <c r="B160" s="506" t="str">
        <f t="shared" si="4"/>
        <v>B2 - Divulgations propres aux coopératives</v>
      </c>
      <c r="C160" s="2" t="s">
        <v>5275</v>
      </c>
      <c r="D160" s="501" t="s">
        <v>5276</v>
      </c>
      <c r="E160" s="501" t="s">
        <v>5277</v>
      </c>
      <c r="F160" s="507" t="s">
        <v>5278</v>
      </c>
      <c r="G160" s="508" t="s">
        <v>5279</v>
      </c>
      <c r="H160" s="508" t="s">
        <v>5280</v>
      </c>
      <c r="I160" s="2" t="s">
        <v>5281</v>
      </c>
      <c r="J160" s="507" t="s">
        <v>5282</v>
      </c>
      <c r="K160" s="507" t="s">
        <v>5283</v>
      </c>
      <c r="L160" s="507" t="s">
        <v>5284</v>
      </c>
      <c r="M160" s="507" t="s">
        <v>5285</v>
      </c>
      <c r="N160" s="507" t="s">
        <v>5286</v>
      </c>
    </row>
    <row r="161" spans="1:14" ht="43.2" x14ac:dyDescent="0.3">
      <c r="A161" s="2" t="s">
        <v>5287</v>
      </c>
      <c r="B161" s="506" t="str">
        <f t="shared" si="4"/>
        <v>Participation effective des travailleurs, des utilisateurs ou d'autres parties ou communautés intéressées à la gouvernance</v>
      </c>
      <c r="C161" s="2" t="s">
        <v>5288</v>
      </c>
      <c r="D161" s="501" t="s">
        <v>5289</v>
      </c>
      <c r="E161" s="501" t="s">
        <v>5290</v>
      </c>
      <c r="F161" s="501" t="s">
        <v>5291</v>
      </c>
      <c r="G161" s="508" t="s">
        <v>5292</v>
      </c>
      <c r="H161" s="508" t="s">
        <v>5293</v>
      </c>
      <c r="I161" s="2" t="s">
        <v>5294</v>
      </c>
      <c r="J161" s="507" t="s">
        <v>5295</v>
      </c>
      <c r="K161" s="507" t="s">
        <v>5296</v>
      </c>
      <c r="L161" s="507" t="s">
        <v>5297</v>
      </c>
      <c r="M161" s="507" t="s">
        <v>5298</v>
      </c>
      <c r="N161" s="507" t="s">
        <v>5299</v>
      </c>
    </row>
    <row r="162" spans="1:14" ht="57.6" x14ac:dyDescent="0.3">
      <c r="A162" s="2" t="s">
        <v>5300</v>
      </c>
      <c r="B162" s="506" t="str">
        <f t="shared" si="4"/>
        <v>Investissements financiers dans le capital ou les actifs des entités de l’économie sociale visées par la recommandation du Conseil du 29 septembre 2023 (à l’exclusion des dons et contributions)</v>
      </c>
      <c r="C162" s="2" t="s">
        <v>5301</v>
      </c>
      <c r="D162" s="501" t="s">
        <v>5302</v>
      </c>
      <c r="E162" s="501" t="s">
        <v>5303</v>
      </c>
      <c r="F162" s="501" t="s">
        <v>5304</v>
      </c>
      <c r="G162" s="508" t="s">
        <v>5305</v>
      </c>
      <c r="H162" s="508" t="s">
        <v>5306</v>
      </c>
      <c r="I162" s="2" t="s">
        <v>5307</v>
      </c>
      <c r="J162" s="507" t="s">
        <v>5308</v>
      </c>
      <c r="K162" s="507" t="s">
        <v>5309</v>
      </c>
      <c r="L162" s="507" t="s">
        <v>5310</v>
      </c>
      <c r="M162" s="507" t="s">
        <v>5311</v>
      </c>
      <c r="N162" s="507" t="s">
        <v>5312</v>
      </c>
    </row>
    <row r="163" spans="1:14" ht="58.2" thickBot="1" x14ac:dyDescent="0.35">
      <c r="A163" s="513" t="s">
        <v>5313</v>
      </c>
      <c r="B163" s="510" t="str">
        <f t="shared" si="4"/>
        <v>Limites à la distribution des bénéfices du fait du caractère mutualiste ou de la nature des activités exercées valant services d’intérêt économique général</v>
      </c>
      <c r="C163" s="513" t="s">
        <v>5314</v>
      </c>
      <c r="D163" s="509" t="s">
        <v>5315</v>
      </c>
      <c r="E163" s="509" t="s">
        <v>5316</v>
      </c>
      <c r="F163" s="509" t="s">
        <v>5317</v>
      </c>
      <c r="G163" s="512" t="s">
        <v>5318</v>
      </c>
      <c r="H163" s="512" t="s">
        <v>5319</v>
      </c>
      <c r="I163" s="513" t="s">
        <v>5320</v>
      </c>
      <c r="J163" s="511" t="s">
        <v>5321</v>
      </c>
      <c r="K163" s="511" t="s">
        <v>5322</v>
      </c>
      <c r="L163" s="511" t="s">
        <v>5323</v>
      </c>
      <c r="M163" s="511" t="s">
        <v>5324</v>
      </c>
      <c r="N163" s="511" t="s">
        <v>5325</v>
      </c>
    </row>
    <row r="164" spans="1:14" ht="43.2" x14ac:dyDescent="0.3">
      <c r="A164" s="2" t="s">
        <v>5326</v>
      </c>
      <c r="B164" s="506" t="str">
        <f t="shared" si="4"/>
        <v>C2 – Description des pratiques, politiques et initiatives futures en vue de la transition vers une économie plus durable</v>
      </c>
      <c r="C164" s="2" t="s">
        <v>5327</v>
      </c>
      <c r="D164" s="501" t="s">
        <v>5328</v>
      </c>
      <c r="E164" s="501" t="s">
        <v>4295</v>
      </c>
      <c r="F164" s="501" t="s">
        <v>4296</v>
      </c>
      <c r="G164" s="508" t="s">
        <v>5329</v>
      </c>
      <c r="H164" s="508" t="s">
        <v>5330</v>
      </c>
      <c r="I164" s="2" t="s">
        <v>4299</v>
      </c>
      <c r="J164" s="507" t="s">
        <v>5331</v>
      </c>
      <c r="K164" s="507" t="s">
        <v>4301</v>
      </c>
      <c r="L164" s="507" t="s">
        <v>5332</v>
      </c>
      <c r="M164" s="507" t="s">
        <v>5333</v>
      </c>
      <c r="N164" s="507" t="s">
        <v>4304</v>
      </c>
    </row>
    <row r="165" spans="1:14" ht="72" x14ac:dyDescent="0.3">
      <c r="A165" s="2" t="s">
        <v>5334</v>
      </c>
      <c r="B165" s="506" t="str">
        <f t="shared" si="4"/>
        <v>Description d'une pratique, d'une politique et/ou d'une initiative future en vue d'un avenir plus durable (Si la pratique, la politique ou l'initiative future concerne des fournisseurs ou des clients, l'entreprise doit le mentionner)</v>
      </c>
      <c r="C165" s="2" t="s">
        <v>5335</v>
      </c>
      <c r="D165" s="501" t="s">
        <v>5336</v>
      </c>
      <c r="E165" s="501" t="s">
        <v>5337</v>
      </c>
      <c r="F165" s="501" t="s">
        <v>5338</v>
      </c>
      <c r="G165" s="508" t="s">
        <v>5339</v>
      </c>
      <c r="H165" s="508" t="s">
        <v>5340</v>
      </c>
      <c r="I165" s="2" t="s">
        <v>5341</v>
      </c>
      <c r="J165" s="507" t="s">
        <v>5342</v>
      </c>
      <c r="K165" s="507" t="s">
        <v>5343</v>
      </c>
      <c r="L165" s="507" t="s">
        <v>5344</v>
      </c>
      <c r="M165" s="507" t="s">
        <v>5345</v>
      </c>
      <c r="N165" s="507" t="s">
        <v>5346</v>
      </c>
    </row>
    <row r="166" spans="1:14" ht="43.2" x14ac:dyDescent="0.3">
      <c r="A166" s="2" t="s">
        <v>5347</v>
      </c>
      <c r="B166" s="506" t="str">
        <f t="shared" si="4"/>
        <v>Description de la cible liée à une politique</v>
      </c>
      <c r="C166" s="2" t="s">
        <v>5348</v>
      </c>
      <c r="D166" s="501" t="s">
        <v>5349</v>
      </c>
      <c r="E166" s="501" t="s">
        <v>5350</v>
      </c>
      <c r="F166" s="501" t="s">
        <v>5351</v>
      </c>
      <c r="G166" s="508" t="s">
        <v>5352</v>
      </c>
      <c r="H166" s="508" t="s">
        <v>5353</v>
      </c>
      <c r="I166" s="2" t="s">
        <v>5354</v>
      </c>
      <c r="J166" s="507" t="s">
        <v>5355</v>
      </c>
      <c r="K166" s="507" t="s">
        <v>5356</v>
      </c>
      <c r="L166" s="507" t="s">
        <v>5357</v>
      </c>
      <c r="M166" s="507" t="s">
        <v>5358</v>
      </c>
      <c r="N166" s="507" t="s">
        <v>5359</v>
      </c>
    </row>
    <row r="167" spans="1:14" ht="43.8" thickBot="1" x14ac:dyDescent="0.35">
      <c r="A167" s="513" t="s">
        <v>5360</v>
      </c>
      <c r="B167" s="510" t="str">
        <f t="shared" si="4"/>
        <v>Niveau hiérarchique le plus élevé parmi les salariés qui est responsable de la mise en œuvre des politiques, lorsque cela a été déterminé par l’entreprise</v>
      </c>
      <c r="C167" s="513" t="s">
        <v>5361</v>
      </c>
      <c r="D167" s="509" t="s">
        <v>5362</v>
      </c>
      <c r="E167" s="509" t="s">
        <v>5363</v>
      </c>
      <c r="F167" s="509" t="s">
        <v>5364</v>
      </c>
      <c r="G167" s="512" t="s">
        <v>5365</v>
      </c>
      <c r="H167" s="512" t="s">
        <v>5366</v>
      </c>
      <c r="I167" s="513" t="s">
        <v>5367</v>
      </c>
      <c r="J167" s="511" t="s">
        <v>5368</v>
      </c>
      <c r="K167" s="511" t="s">
        <v>5369</v>
      </c>
      <c r="L167" s="511" t="s">
        <v>5370</v>
      </c>
      <c r="M167" s="511" t="s">
        <v>5371</v>
      </c>
      <c r="N167" s="511" t="s">
        <v>5372</v>
      </c>
    </row>
    <row r="168" spans="1:14" ht="57.6" x14ac:dyDescent="0.3">
      <c r="A168" s="2" t="s">
        <v>5373</v>
      </c>
      <c r="B168" s="506" t="str">
        <f t="shared" si="4"/>
        <v>C1 – Stratégie : modèle économique et durabilité – initiatives associées</v>
      </c>
      <c r="C168" s="2" t="s">
        <v>4280</v>
      </c>
      <c r="D168" s="501" t="s">
        <v>5374</v>
      </c>
      <c r="E168" s="501" t="s">
        <v>5375</v>
      </c>
      <c r="F168" s="501" t="s">
        <v>5376</v>
      </c>
      <c r="G168" s="508" t="s">
        <v>5377</v>
      </c>
      <c r="H168" s="508" t="s">
        <v>5378</v>
      </c>
      <c r="I168" s="2" t="s">
        <v>5379</v>
      </c>
      <c r="J168" s="507" t="s">
        <v>5380</v>
      </c>
      <c r="K168" s="507" t="s">
        <v>5381</v>
      </c>
      <c r="L168" s="507" t="s">
        <v>5382</v>
      </c>
      <c r="M168" s="507" t="s">
        <v>5383</v>
      </c>
      <c r="N168" s="507" t="s">
        <v>4291</v>
      </c>
    </row>
    <row r="169" spans="1:14" ht="28.8" x14ac:dyDescent="0.3">
      <c r="A169" s="2" t="s">
        <v>5384</v>
      </c>
      <c r="B169" s="506" t="str">
        <f t="shared" si="4"/>
        <v>Description des grands groupes de produits et/ou services proposés</v>
      </c>
      <c r="C169" s="2" t="s">
        <v>5385</v>
      </c>
      <c r="D169" s="501" t="s">
        <v>5386</v>
      </c>
      <c r="E169" s="501" t="s">
        <v>5387</v>
      </c>
      <c r="F169" s="501" t="s">
        <v>5388</v>
      </c>
      <c r="G169" s="508" t="s">
        <v>5389</v>
      </c>
      <c r="H169" s="508" t="s">
        <v>5390</v>
      </c>
      <c r="I169" s="2" t="s">
        <v>5391</v>
      </c>
      <c r="J169" s="507" t="s">
        <v>5392</v>
      </c>
      <c r="K169" s="507" t="s">
        <v>5393</v>
      </c>
      <c r="L169" s="507" t="s">
        <v>5394</v>
      </c>
      <c r="M169" s="507" t="s">
        <v>5395</v>
      </c>
      <c r="N169" s="507" t="s">
        <v>5396</v>
      </c>
    </row>
    <row r="170" spans="1:14" ht="57.6" x14ac:dyDescent="0.3">
      <c r="A170" s="2" t="s">
        <v>5397</v>
      </c>
      <c r="B170" s="506" t="str">
        <f t="shared" si="4"/>
        <v>Description du ou des grands marchés sur lesquels l'entreprise exerce ses activités (par ex. commerce interentreprises, commerce de gros, commerce de détail, pays)</v>
      </c>
      <c r="C170" s="2" t="s">
        <v>5398</v>
      </c>
      <c r="D170" s="501" t="s">
        <v>5399</v>
      </c>
      <c r="E170" s="501" t="s">
        <v>5400</v>
      </c>
      <c r="F170" s="501" t="s">
        <v>5401</v>
      </c>
      <c r="G170" s="508" t="s">
        <v>5402</v>
      </c>
      <c r="H170" s="508" t="s">
        <v>5403</v>
      </c>
      <c r="I170" s="2" t="s">
        <v>5404</v>
      </c>
      <c r="J170" s="507" t="s">
        <v>5405</v>
      </c>
      <c r="K170" s="507" t="s">
        <v>5406</v>
      </c>
      <c r="L170" s="507" t="s">
        <v>5407</v>
      </c>
      <c r="M170" s="507" t="s">
        <v>5408</v>
      </c>
      <c r="N170" s="507" t="s">
        <v>5409</v>
      </c>
    </row>
    <row r="171" spans="1:14" ht="29.4" thickBot="1" x14ac:dyDescent="0.35">
      <c r="A171" s="513" t="s">
        <v>5410</v>
      </c>
      <c r="B171" s="510" t="str">
        <f t="shared" ref="B171:B235" si="6">INDEX(C171:N171,MATCH(template_selected_display_language,$C$3:$N$3,0))</f>
        <v>Description des principales relations d’affaires (telles que les principaux fournisseurs, clients, canaux de distribution)</v>
      </c>
      <c r="C171" s="513" t="s">
        <v>5411</v>
      </c>
      <c r="D171" s="509" t="s">
        <v>5412</v>
      </c>
      <c r="E171" s="509" t="s">
        <v>5413</v>
      </c>
      <c r="F171" s="509" t="s">
        <v>5414</v>
      </c>
      <c r="G171" s="512" t="s">
        <v>5415</v>
      </c>
      <c r="H171" s="512" t="s">
        <v>5416</v>
      </c>
      <c r="I171" s="513" t="s">
        <v>5417</v>
      </c>
      <c r="J171" s="511" t="s">
        <v>5418</v>
      </c>
      <c r="K171" s="511" t="s">
        <v>5419</v>
      </c>
      <c r="L171" s="511" t="s">
        <v>5420</v>
      </c>
      <c r="M171" s="511" t="s">
        <v>5421</v>
      </c>
      <c r="N171" s="511" t="s">
        <v>5422</v>
      </c>
    </row>
    <row r="172" spans="1:14" ht="43.2" x14ac:dyDescent="0.3">
      <c r="A172" s="2" t="s">
        <v>5423</v>
      </c>
      <c r="B172" s="506" t="str">
        <f t="shared" si="6"/>
        <v xml:space="preserve">	
La stratégie comporte-t-elle des éléments principaux qui se rattachent à des enjeux de durabilité ou qui les influencent ?</v>
      </c>
      <c r="C172" s="2" t="s">
        <v>5424</v>
      </c>
      <c r="D172" s="501" t="s">
        <v>5425</v>
      </c>
      <c r="E172" s="501" t="s">
        <v>5426</v>
      </c>
      <c r="F172" s="501" t="s">
        <v>5427</v>
      </c>
      <c r="G172" s="508" t="s">
        <v>5428</v>
      </c>
      <c r="H172" s="508" t="s">
        <v>5429</v>
      </c>
      <c r="I172" s="2" t="s">
        <v>5430</v>
      </c>
      <c r="J172" s="507" t="s">
        <v>5431</v>
      </c>
      <c r="K172" s="507" t="s">
        <v>5432</v>
      </c>
      <c r="L172" s="507" t="s">
        <v>5433</v>
      </c>
      <c r="M172" s="507" t="s">
        <v>5434</v>
      </c>
      <c r="N172" s="507" t="s">
        <v>5435</v>
      </c>
    </row>
    <row r="173" spans="1:14" ht="43.2" x14ac:dyDescent="0.3">
      <c r="A173" s="2" t="s">
        <v>5436</v>
      </c>
      <c r="B173" s="506" t="str">
        <f t="shared" si="6"/>
        <v>Description des principaux éléments de la stratégie qui se rattachent à des enjeux de durabilité ou qui les influencent</v>
      </c>
      <c r="C173" s="2" t="s">
        <v>5437</v>
      </c>
      <c r="D173" s="501" t="s">
        <v>5438</v>
      </c>
      <c r="E173" s="501" t="s">
        <v>5439</v>
      </c>
      <c r="F173" s="501" t="s">
        <v>5440</v>
      </c>
      <c r="G173" s="508" t="s">
        <v>5441</v>
      </c>
      <c r="H173" s="508" t="s">
        <v>5442</v>
      </c>
      <c r="I173" s="2" t="s">
        <v>5443</v>
      </c>
      <c r="J173" s="507" t="s">
        <v>5444</v>
      </c>
      <c r="K173" s="507" t="s">
        <v>5445</v>
      </c>
      <c r="L173" s="507" t="s">
        <v>5446</v>
      </c>
      <c r="M173" s="507" t="s">
        <v>5447</v>
      </c>
      <c r="N173" s="507" t="s">
        <v>5448</v>
      </c>
    </row>
    <row r="174" spans="1:14" x14ac:dyDescent="0.3">
      <c r="A174" s="2" t="s">
        <v>10897</v>
      </c>
      <c r="B174" s="506" t="str">
        <f t="shared" si="6"/>
        <v>Introduction</v>
      </c>
      <c r="C174" s="2" t="s">
        <v>10898</v>
      </c>
      <c r="D174" s="501" t="s">
        <v>10899</v>
      </c>
      <c r="E174" s="501" t="s">
        <v>10900</v>
      </c>
      <c r="F174" s="501" t="s">
        <v>10898</v>
      </c>
      <c r="G174" s="501" t="s">
        <v>10901</v>
      </c>
      <c r="H174" s="501" t="s">
        <v>10902</v>
      </c>
      <c r="I174" s="501" t="s">
        <v>10903</v>
      </c>
      <c r="J174" s="501" t="s">
        <v>10904</v>
      </c>
      <c r="K174" s="501" t="s">
        <v>10905</v>
      </c>
      <c r="L174" s="501" t="s">
        <v>10906</v>
      </c>
      <c r="M174" s="501" t="s">
        <v>10907</v>
      </c>
      <c r="N174" s="501" t="s">
        <v>10908</v>
      </c>
    </row>
    <row r="175" spans="1:14" ht="28.8" x14ac:dyDescent="0.3">
      <c r="A175" s="2" t="s">
        <v>5449</v>
      </c>
      <c r="B175" s="506" t="str">
        <f>INDEX(C175:N175,MATCH(template_selected_display_language,$C$3:$N$3,0))</f>
        <v>publication de toute autre information générale et/ou spécifique à l’entité</v>
      </c>
      <c r="C175" s="2" t="s">
        <v>10886</v>
      </c>
      <c r="D175" s="2" t="s">
        <v>10887</v>
      </c>
      <c r="E175" s="2" t="s">
        <v>10888</v>
      </c>
      <c r="F175" s="2" t="s">
        <v>10889</v>
      </c>
      <c r="G175" s="2" t="s">
        <v>10890</v>
      </c>
      <c r="H175" s="2" t="s">
        <v>10891</v>
      </c>
      <c r="I175" s="2" t="s">
        <v>10892</v>
      </c>
      <c r="J175" s="2" t="s">
        <v>10893</v>
      </c>
      <c r="K175" s="2" t="s">
        <v>10894</v>
      </c>
      <c r="L175" s="2" t="s">
        <v>10895</v>
      </c>
      <c r="M175" s="2" t="s">
        <v>10896</v>
      </c>
      <c r="N175" s="2" t="s">
        <v>10885</v>
      </c>
    </row>
    <row r="176" spans="1:14" x14ac:dyDescent="0.3">
      <c r="A176" s="2" t="s">
        <v>5450</v>
      </c>
      <c r="B176" s="506" t="str">
        <f t="shared" si="6"/>
        <v>B3 - Consommation totale d’énergie (en MWh)</v>
      </c>
      <c r="C176" s="2" t="s">
        <v>5451</v>
      </c>
      <c r="D176" s="501" t="s">
        <v>5452</v>
      </c>
      <c r="E176" s="501" t="s">
        <v>5453</v>
      </c>
      <c r="F176" s="501" t="s">
        <v>5454</v>
      </c>
      <c r="G176" s="508" t="s">
        <v>5455</v>
      </c>
      <c r="H176" s="508" t="s">
        <v>5456</v>
      </c>
      <c r="I176" s="2" t="s">
        <v>5457</v>
      </c>
      <c r="J176" s="507" t="s">
        <v>5458</v>
      </c>
      <c r="K176" s="507" t="s">
        <v>5459</v>
      </c>
      <c r="L176" s="507" t="s">
        <v>5460</v>
      </c>
      <c r="M176" s="507" t="s">
        <v>5461</v>
      </c>
      <c r="N176" s="507" t="s">
        <v>5462</v>
      </c>
    </row>
    <row r="177" spans="1:14" ht="29.4" thickBot="1" x14ac:dyDescent="0.35">
      <c r="A177" s="513" t="s">
        <v>5463</v>
      </c>
      <c r="B177" s="510" t="str">
        <f t="shared" si="6"/>
        <v>Consommation totale d’énergie</v>
      </c>
      <c r="C177" s="513" t="s">
        <v>5464</v>
      </c>
      <c r="D177" s="509" t="s">
        <v>5465</v>
      </c>
      <c r="E177" s="509" t="s">
        <v>5466</v>
      </c>
      <c r="F177" s="509" t="s">
        <v>5467</v>
      </c>
      <c r="G177" s="512" t="s">
        <v>5468</v>
      </c>
      <c r="H177" s="512" t="s">
        <v>5469</v>
      </c>
      <c r="I177" s="513" t="s">
        <v>5470</v>
      </c>
      <c r="J177" s="511" t="s">
        <v>5471</v>
      </c>
      <c r="K177" s="511" t="s">
        <v>5472</v>
      </c>
      <c r="L177" s="511" t="s">
        <v>5473</v>
      </c>
      <c r="M177" s="511" t="s">
        <v>5474</v>
      </c>
      <c r="N177" s="511" t="s">
        <v>5475</v>
      </c>
    </row>
    <row r="178" spans="1:14" x14ac:dyDescent="0.3">
      <c r="A178" s="2" t="s">
        <v>5476</v>
      </c>
      <c r="B178" s="506" t="str">
        <f t="shared" si="6"/>
        <v>B3 - Ventilation de la consommation d'énergie (en MWh)</v>
      </c>
      <c r="C178" s="2" t="s">
        <v>5477</v>
      </c>
      <c r="D178" s="501" t="s">
        <v>5478</v>
      </c>
      <c r="E178" s="501" t="s">
        <v>5479</v>
      </c>
      <c r="F178" s="501" t="s">
        <v>5480</v>
      </c>
      <c r="G178" s="508" t="s">
        <v>5481</v>
      </c>
      <c r="H178" s="508" t="s">
        <v>5482</v>
      </c>
      <c r="I178" s="2" t="s">
        <v>5483</v>
      </c>
      <c r="J178" s="507" t="s">
        <v>5484</v>
      </c>
      <c r="K178" s="507" t="s">
        <v>5485</v>
      </c>
      <c r="L178" s="507" t="s">
        <v>5486</v>
      </c>
      <c r="M178" s="507" t="s">
        <v>5487</v>
      </c>
      <c r="N178" s="507" t="s">
        <v>5488</v>
      </c>
    </row>
    <row r="179" spans="1:14" ht="43.2" x14ac:dyDescent="0.3">
      <c r="A179" s="2" t="s">
        <v>5489</v>
      </c>
      <c r="B179" s="506" t="str">
        <f t="shared" si="6"/>
        <v>L’entreprise a-t-elle obtenu les informations nécessaires pour fournir une ventilation de la consommation d’énergie ?</v>
      </c>
      <c r="C179" s="2" t="s">
        <v>5490</v>
      </c>
      <c r="D179" s="501" t="s">
        <v>5491</v>
      </c>
      <c r="E179" s="501" t="s">
        <v>5492</v>
      </c>
      <c r="F179" s="501" t="s">
        <v>5493</v>
      </c>
      <c r="G179" s="508" t="s">
        <v>5494</v>
      </c>
      <c r="H179" s="508" t="s">
        <v>5495</v>
      </c>
      <c r="I179" s="2" t="s">
        <v>5496</v>
      </c>
      <c r="J179" s="507" t="s">
        <v>5497</v>
      </c>
      <c r="K179" s="507" t="s">
        <v>5498</v>
      </c>
      <c r="L179" s="507" t="s">
        <v>5499</v>
      </c>
      <c r="M179" s="507" t="s">
        <v>5500</v>
      </c>
      <c r="N179" s="507" t="s">
        <v>5501</v>
      </c>
    </row>
    <row r="180" spans="1:14" x14ac:dyDescent="0.3">
      <c r="A180" s="2" t="s">
        <v>5502</v>
      </c>
      <c r="B180" s="506" t="str">
        <f t="shared" si="6"/>
        <v>Renouvelable</v>
      </c>
      <c r="C180" s="2" t="s">
        <v>144</v>
      </c>
      <c r="D180" s="501" t="s">
        <v>5503</v>
      </c>
      <c r="E180" s="501" t="s">
        <v>5504</v>
      </c>
      <c r="F180" s="501" t="s">
        <v>5505</v>
      </c>
      <c r="G180" s="508" t="s">
        <v>5506</v>
      </c>
      <c r="H180" s="508" t="s">
        <v>5507</v>
      </c>
      <c r="I180" s="2" t="s">
        <v>5508</v>
      </c>
      <c r="J180" s="507" t="s">
        <v>5509</v>
      </c>
      <c r="K180" s="507" t="s">
        <v>5510</v>
      </c>
      <c r="L180" s="507" t="s">
        <v>5511</v>
      </c>
      <c r="M180" s="507" t="s">
        <v>5512</v>
      </c>
      <c r="N180" s="507" t="s">
        <v>5513</v>
      </c>
    </row>
    <row r="181" spans="1:14" x14ac:dyDescent="0.3">
      <c r="A181" s="2" t="s">
        <v>5514</v>
      </c>
      <c r="B181" s="506" t="str">
        <f t="shared" si="6"/>
        <v>Non renouvelable</v>
      </c>
      <c r="C181" s="2" t="s">
        <v>140</v>
      </c>
      <c r="D181" s="501" t="s">
        <v>5515</v>
      </c>
      <c r="E181" s="501" t="s">
        <v>5516</v>
      </c>
      <c r="F181" s="501" t="s">
        <v>5517</v>
      </c>
      <c r="G181" s="508" t="s">
        <v>5518</v>
      </c>
      <c r="H181" s="508" t="s">
        <v>5519</v>
      </c>
      <c r="I181" s="2" t="s">
        <v>5520</v>
      </c>
      <c r="J181" s="507" t="s">
        <v>5521</v>
      </c>
      <c r="K181" s="507" t="s">
        <v>5522</v>
      </c>
      <c r="L181" s="507" t="s">
        <v>5523</v>
      </c>
      <c r="M181" s="507" t="s">
        <v>5524</v>
      </c>
      <c r="N181" s="507" t="s">
        <v>5525</v>
      </c>
    </row>
    <row r="182" spans="1:14" ht="28.8" x14ac:dyDescent="0.3">
      <c r="A182" s="2" t="s">
        <v>5526</v>
      </c>
      <c r="B182" s="506" t="str">
        <f t="shared" si="6"/>
        <v>Total renouvelable et non renouvelable</v>
      </c>
      <c r="C182" s="2" t="s">
        <v>5527</v>
      </c>
      <c r="D182" s="501" t="s">
        <v>5528</v>
      </c>
      <c r="E182" s="501" t="s">
        <v>5529</v>
      </c>
      <c r="F182" s="501" t="s">
        <v>5530</v>
      </c>
      <c r="G182" s="508" t="s">
        <v>5531</v>
      </c>
      <c r="H182" s="508" t="s">
        <v>5532</v>
      </c>
      <c r="I182" s="2" t="s">
        <v>5533</v>
      </c>
      <c r="J182" s="507" t="s">
        <v>5534</v>
      </c>
      <c r="K182" s="507" t="s">
        <v>5535</v>
      </c>
      <c r="L182" s="507" t="s">
        <v>5536</v>
      </c>
      <c r="M182" s="507" t="s">
        <v>5537</v>
      </c>
      <c r="N182" s="507" t="s">
        <v>5538</v>
      </c>
    </row>
    <row r="183" spans="1:14" ht="28.8" x14ac:dyDescent="0.3">
      <c r="A183" s="2" t="s">
        <v>5539</v>
      </c>
      <c r="B183" s="506" t="str">
        <f t="shared" si="6"/>
        <v>Électricité (telle qu’indiquée sur les factures de consommation courante)</v>
      </c>
      <c r="C183" s="2" t="s">
        <v>5540</v>
      </c>
      <c r="D183" s="501" t="s">
        <v>5541</v>
      </c>
      <c r="E183" s="501" t="s">
        <v>5542</v>
      </c>
      <c r="F183" s="514" t="s">
        <v>5543</v>
      </c>
      <c r="G183" s="508" t="s">
        <v>5544</v>
      </c>
      <c r="H183" s="508" t="s">
        <v>5545</v>
      </c>
      <c r="I183" s="2" t="s">
        <v>5546</v>
      </c>
      <c r="J183" s="507" t="s">
        <v>5547</v>
      </c>
      <c r="K183" s="507" t="s">
        <v>5548</v>
      </c>
      <c r="L183" s="507" t="s">
        <v>5549</v>
      </c>
      <c r="M183" s="507" t="s">
        <v>5550</v>
      </c>
      <c r="N183" s="507" t="s">
        <v>5551</v>
      </c>
    </row>
    <row r="184" spans="1:14" x14ac:dyDescent="0.3">
      <c r="A184" s="2" t="s">
        <v>5552</v>
      </c>
      <c r="B184" s="506" t="str">
        <f t="shared" si="6"/>
        <v>Électricité auto-produite</v>
      </c>
      <c r="C184" s="2" t="s">
        <v>5553</v>
      </c>
      <c r="D184" s="501" t="s">
        <v>5554</v>
      </c>
      <c r="E184" s="501" t="s">
        <v>5555</v>
      </c>
      <c r="F184" s="501" t="s">
        <v>5556</v>
      </c>
      <c r="G184" s="508" t="s">
        <v>5557</v>
      </c>
      <c r="H184" s="508" t="s">
        <v>5558</v>
      </c>
      <c r="I184" s="2" t="s">
        <v>5559</v>
      </c>
      <c r="J184" s="507" t="s">
        <v>5560</v>
      </c>
      <c r="K184" s="507" t="s">
        <v>5561</v>
      </c>
      <c r="L184" s="507" t="s">
        <v>5562</v>
      </c>
      <c r="M184" s="507" t="s">
        <v>5563</v>
      </c>
      <c r="N184" s="507" t="s">
        <v>5564</v>
      </c>
    </row>
    <row r="185" spans="1:14" ht="29.4" thickBot="1" x14ac:dyDescent="0.35">
      <c r="A185" s="513" t="s">
        <v>5565</v>
      </c>
      <c r="B185" s="510" t="str">
        <f t="shared" si="6"/>
        <v>Combustibles (voir Convertisseur de combustible dans la feuille Combustible)</v>
      </c>
      <c r="C185" s="513" t="s">
        <v>5566</v>
      </c>
      <c r="D185" s="509" t="s">
        <v>5567</v>
      </c>
      <c r="E185" s="509" t="s">
        <v>5568</v>
      </c>
      <c r="F185" s="509" t="s">
        <v>5569</v>
      </c>
      <c r="G185" s="512" t="s">
        <v>5570</v>
      </c>
      <c r="H185" s="512" t="s">
        <v>5571</v>
      </c>
      <c r="I185" s="513" t="s">
        <v>5572</v>
      </c>
      <c r="J185" s="511" t="s">
        <v>5573</v>
      </c>
      <c r="K185" s="511" t="s">
        <v>5574</v>
      </c>
      <c r="L185" s="511" t="s">
        <v>5575</v>
      </c>
      <c r="M185" s="511" t="s">
        <v>5576</v>
      </c>
      <c r="N185" s="511" t="s">
        <v>5577</v>
      </c>
    </row>
    <row r="186" spans="1:14" ht="57.6" x14ac:dyDescent="0.3">
      <c r="A186" s="2" t="s">
        <v>5578</v>
      </c>
      <c r="B186" s="506" t="str">
        <f t="shared" si="6"/>
        <v>B3 - Estimations des émissions de gaz à effet de serre en prenant en considération la norme du protocole des GES relative aux entreprises (GHG Protocol) (version 2004) (en tCO₂e)</v>
      </c>
      <c r="C186" s="2" t="s">
        <v>5579</v>
      </c>
      <c r="D186" s="501" t="s">
        <v>5580</v>
      </c>
      <c r="E186" s="501" t="s">
        <v>5581</v>
      </c>
      <c r="F186" s="501" t="s">
        <v>5582</v>
      </c>
      <c r="G186" s="508" t="s">
        <v>5583</v>
      </c>
      <c r="H186" s="508" t="s">
        <v>5584</v>
      </c>
      <c r="I186" s="2" t="s">
        <v>5585</v>
      </c>
      <c r="J186" s="507" t="s">
        <v>5586</v>
      </c>
      <c r="K186" s="507" t="s">
        <v>5587</v>
      </c>
      <c r="L186" s="507" t="s">
        <v>5588</v>
      </c>
      <c r="M186" s="507" t="s">
        <v>5589</v>
      </c>
      <c r="N186" s="507" t="s">
        <v>5590</v>
      </c>
    </row>
    <row r="187" spans="1:14" ht="28.8" x14ac:dyDescent="0.3">
      <c r="A187" s="2" t="s">
        <v>5591</v>
      </c>
      <c r="B187" s="506" t="str">
        <f t="shared" si="6"/>
        <v>Cibles de réduction des émissions de GES (en tCO₂e)</v>
      </c>
      <c r="C187" s="2" t="s">
        <v>5592</v>
      </c>
      <c r="D187" s="501" t="s">
        <v>5593</v>
      </c>
      <c r="E187" s="501" t="s">
        <v>5594</v>
      </c>
      <c r="F187" s="501" t="s">
        <v>5595</v>
      </c>
      <c r="G187" s="508" t="s">
        <v>5596</v>
      </c>
      <c r="H187" s="508" t="s">
        <v>5597</v>
      </c>
      <c r="I187" s="2" t="s">
        <v>5598</v>
      </c>
      <c r="J187" s="507" t="s">
        <v>5599</v>
      </c>
      <c r="K187" s="507" t="s">
        <v>5600</v>
      </c>
      <c r="L187" s="507" t="s">
        <v>5601</v>
      </c>
      <c r="M187" s="507" t="s">
        <v>5602</v>
      </c>
      <c r="N187" s="507" t="s">
        <v>5603</v>
      </c>
    </row>
    <row r="188" spans="1:14" ht="28.8" x14ac:dyDescent="0.3">
      <c r="A188" s="2" t="s">
        <v>5604</v>
      </c>
      <c r="B188" s="506" t="str">
        <f t="shared" si="6"/>
        <v>L'entreprise a-t-elle établi des cibles de réduction des émissions de GES ?</v>
      </c>
      <c r="C188" s="2" t="s">
        <v>5605</v>
      </c>
      <c r="D188" s="501" t="s">
        <v>5606</v>
      </c>
      <c r="E188" s="501" t="s">
        <v>5607</v>
      </c>
      <c r="F188" s="501" t="s">
        <v>5608</v>
      </c>
      <c r="G188" s="508" t="s">
        <v>5609</v>
      </c>
      <c r="H188" s="508" t="s">
        <v>5610</v>
      </c>
      <c r="I188" s="2" t="s">
        <v>5611</v>
      </c>
      <c r="J188" s="507" t="s">
        <v>5612</v>
      </c>
      <c r="K188" s="507" t="s">
        <v>5613</v>
      </c>
      <c r="L188" s="507" t="s">
        <v>5614</v>
      </c>
      <c r="M188" s="507" t="s">
        <v>5615</v>
      </c>
      <c r="N188" s="507" t="s">
        <v>5616</v>
      </c>
    </row>
    <row r="189" spans="1:14" x14ac:dyDescent="0.3">
      <c r="A189" s="2" t="s">
        <v>5617</v>
      </c>
      <c r="B189" s="506" t="str">
        <f t="shared" si="6"/>
        <v>Période de reporting actuelle</v>
      </c>
      <c r="C189" s="2" t="s">
        <v>5618</v>
      </c>
      <c r="D189" s="501" t="s">
        <v>5619</v>
      </c>
      <c r="E189" s="501" t="s">
        <v>5620</v>
      </c>
      <c r="F189" s="501" t="s">
        <v>5621</v>
      </c>
      <c r="G189" s="508" t="s">
        <v>5622</v>
      </c>
      <c r="H189" s="508" t="s">
        <v>5623</v>
      </c>
      <c r="I189" s="2" t="s">
        <v>5624</v>
      </c>
      <c r="J189" s="507" t="s">
        <v>5625</v>
      </c>
      <c r="K189" s="507" t="s">
        <v>5626</v>
      </c>
      <c r="L189" s="507" t="s">
        <v>5627</v>
      </c>
      <c r="M189" s="507" t="s">
        <v>5628</v>
      </c>
      <c r="N189" s="507" t="s">
        <v>5629</v>
      </c>
    </row>
    <row r="190" spans="1:14" x14ac:dyDescent="0.3">
      <c r="A190" s="2" t="s">
        <v>5630</v>
      </c>
      <c r="B190" s="506" t="str">
        <f t="shared" si="6"/>
        <v>Année de référence</v>
      </c>
      <c r="C190" s="2" t="s">
        <v>5631</v>
      </c>
      <c r="D190" s="501" t="s">
        <v>5632</v>
      </c>
      <c r="E190" s="501" t="s">
        <v>5633</v>
      </c>
      <c r="F190" s="501" t="s">
        <v>5634</v>
      </c>
      <c r="G190" s="508" t="s">
        <v>5635</v>
      </c>
      <c r="H190" s="508" t="s">
        <v>5636</v>
      </c>
      <c r="I190" s="2" t="s">
        <v>5637</v>
      </c>
      <c r="J190" s="507" t="s">
        <v>5638</v>
      </c>
      <c r="K190" s="507" t="s">
        <v>5639</v>
      </c>
      <c r="L190" s="507" t="s">
        <v>5640</v>
      </c>
      <c r="M190" s="507" t="s">
        <v>5641</v>
      </c>
      <c r="N190" s="507" t="s">
        <v>5642</v>
      </c>
    </row>
    <row r="191" spans="1:14" x14ac:dyDescent="0.3">
      <c r="A191" s="2" t="s">
        <v>5643</v>
      </c>
      <c r="B191" s="506" t="str">
        <f t="shared" si="6"/>
        <v>Année cible</v>
      </c>
      <c r="C191" s="2" t="s">
        <v>5644</v>
      </c>
      <c r="D191" s="501" t="s">
        <v>5645</v>
      </c>
      <c r="E191" s="501" t="s">
        <v>5646</v>
      </c>
      <c r="F191" s="501" t="s">
        <v>5647</v>
      </c>
      <c r="G191" s="508" t="s">
        <v>5648</v>
      </c>
      <c r="H191" s="508" t="s">
        <v>5649</v>
      </c>
      <c r="I191" s="2" t="s">
        <v>5650</v>
      </c>
      <c r="J191" s="507" t="s">
        <v>5651</v>
      </c>
      <c r="K191" s="507" t="s">
        <v>5652</v>
      </c>
      <c r="L191" s="507" t="s">
        <v>5653</v>
      </c>
      <c r="M191" s="507" t="s">
        <v>5654</v>
      </c>
      <c r="N191" s="507" t="s">
        <v>5655</v>
      </c>
    </row>
    <row r="192" spans="1:14" x14ac:dyDescent="0.3">
      <c r="A192" s="2" t="s">
        <v>5656</v>
      </c>
      <c r="B192" s="506" t="str">
        <f t="shared" si="6"/>
        <v>Réduction en pourcentage par rapport à l’année de référence</v>
      </c>
      <c r="C192" s="2" t="s">
        <v>5657</v>
      </c>
      <c r="D192" s="501" t="s">
        <v>5658</v>
      </c>
      <c r="E192" s="501" t="s">
        <v>5659</v>
      </c>
      <c r="F192" s="501" t="s">
        <v>5660</v>
      </c>
      <c r="G192" s="508" t="s">
        <v>5661</v>
      </c>
      <c r="H192" s="508" t="s">
        <v>5662</v>
      </c>
      <c r="I192" s="2" t="s">
        <v>5663</v>
      </c>
      <c r="J192" s="507" t="s">
        <v>5664</v>
      </c>
      <c r="K192" s="507" t="s">
        <v>5665</v>
      </c>
      <c r="L192" s="507" t="s">
        <v>5666</v>
      </c>
      <c r="M192" s="507" t="s">
        <v>5667</v>
      </c>
      <c r="N192" s="507" t="s">
        <v>5668</v>
      </c>
    </row>
    <row r="193" spans="1:14" x14ac:dyDescent="0.3">
      <c r="A193" s="2" t="s">
        <v>5669</v>
      </c>
      <c r="B193" s="506" t="str">
        <f t="shared" si="6"/>
        <v>Année (date)</v>
      </c>
      <c r="C193" s="2" t="s">
        <v>5670</v>
      </c>
      <c r="D193" s="501" t="s">
        <v>5671</v>
      </c>
      <c r="E193" s="501" t="s">
        <v>5672</v>
      </c>
      <c r="F193" s="501" t="s">
        <v>5673</v>
      </c>
      <c r="G193" s="508" t="s">
        <v>5674</v>
      </c>
      <c r="H193" s="508" t="s">
        <v>5675</v>
      </c>
      <c r="I193" s="2" t="s">
        <v>5676</v>
      </c>
      <c r="J193" s="507" t="s">
        <v>5677</v>
      </c>
      <c r="K193" s="507" t="s">
        <v>5678</v>
      </c>
      <c r="L193" s="507" t="s">
        <v>5679</v>
      </c>
      <c r="M193" s="507" t="s">
        <v>5680</v>
      </c>
      <c r="N193" s="507" t="s">
        <v>5681</v>
      </c>
    </row>
    <row r="194" spans="1:14" ht="28.8" x14ac:dyDescent="0.3">
      <c r="A194" s="2" t="s">
        <v>5682</v>
      </c>
      <c r="B194" s="506" t="str">
        <f t="shared" si="6"/>
        <v>Émissions brutes de GES du scope 1</v>
      </c>
      <c r="C194" s="2" t="s">
        <v>5683</v>
      </c>
      <c r="D194" s="501" t="s">
        <v>5684</v>
      </c>
      <c r="E194" s="501" t="s">
        <v>5685</v>
      </c>
      <c r="F194" s="501" t="s">
        <v>5686</v>
      </c>
      <c r="G194" s="508" t="s">
        <v>5687</v>
      </c>
      <c r="H194" s="508" t="s">
        <v>5688</v>
      </c>
      <c r="I194" s="2" t="s">
        <v>5689</v>
      </c>
      <c r="J194" s="507" t="s">
        <v>5690</v>
      </c>
      <c r="K194" s="507" t="s">
        <v>5691</v>
      </c>
      <c r="L194" s="507" t="s">
        <v>5692</v>
      </c>
      <c r="M194" s="507" t="s">
        <v>5693</v>
      </c>
      <c r="N194" s="507" t="s">
        <v>5694</v>
      </c>
    </row>
    <row r="195" spans="1:14" ht="28.8" x14ac:dyDescent="0.3">
      <c r="A195" s="2" t="s">
        <v>5695</v>
      </c>
      <c r="B195" s="506" t="str">
        <f t="shared" si="6"/>
        <v>Émissions brutes de GES du scope 2 basées sur la localisation</v>
      </c>
      <c r="C195" s="2" t="s">
        <v>5696</v>
      </c>
      <c r="D195" s="501" t="s">
        <v>5697</v>
      </c>
      <c r="E195" s="501" t="s">
        <v>5698</v>
      </c>
      <c r="F195" s="501" t="s">
        <v>5699</v>
      </c>
      <c r="G195" s="508" t="s">
        <v>5700</v>
      </c>
      <c r="H195" s="508" t="s">
        <v>5701</v>
      </c>
      <c r="I195" s="2" t="s">
        <v>5702</v>
      </c>
      <c r="J195" s="507" t="s">
        <v>5703</v>
      </c>
      <c r="K195" s="507" t="s">
        <v>5704</v>
      </c>
      <c r="L195" s="507" t="s">
        <v>5705</v>
      </c>
      <c r="M195" s="507" t="s">
        <v>5706</v>
      </c>
      <c r="N195" s="507" t="s">
        <v>5707</v>
      </c>
    </row>
    <row r="196" spans="1:14" ht="28.8" x14ac:dyDescent="0.3">
      <c r="A196" s="2" t="s">
        <v>5708</v>
      </c>
      <c r="B196" s="506" t="str">
        <f t="shared" si="6"/>
        <v>Émissions brutes de GES du scope 2 basées sur le marché</v>
      </c>
      <c r="C196" s="2" t="s">
        <v>5709</v>
      </c>
      <c r="D196" s="501" t="s">
        <v>5710</v>
      </c>
      <c r="E196" s="501" t="s">
        <v>5711</v>
      </c>
      <c r="F196" s="501" t="s">
        <v>5712</v>
      </c>
      <c r="G196" s="508" t="s">
        <v>5713</v>
      </c>
      <c r="H196" s="508" t="s">
        <v>5714</v>
      </c>
      <c r="I196" s="2" t="s">
        <v>5715</v>
      </c>
      <c r="J196" s="507" t="s">
        <v>5716</v>
      </c>
      <c r="K196" s="507" t="s">
        <v>5717</v>
      </c>
      <c r="L196" s="507" t="s">
        <v>5718</v>
      </c>
      <c r="M196" s="507" t="s">
        <v>5719</v>
      </c>
      <c r="N196" s="507" t="s">
        <v>5720</v>
      </c>
    </row>
    <row r="197" spans="1:14" ht="28.8" x14ac:dyDescent="0.3">
      <c r="A197" s="2" t="s">
        <v>5721</v>
      </c>
      <c r="B197" s="506" t="str">
        <f t="shared" si="6"/>
        <v>Émissions totales de GES des scopes 1 et 2 (approche basée sur la localisation)</v>
      </c>
      <c r="C197" s="2" t="s">
        <v>5722</v>
      </c>
      <c r="D197" s="501" t="s">
        <v>5723</v>
      </c>
      <c r="E197" s="501" t="s">
        <v>5724</v>
      </c>
      <c r="F197" s="501" t="s">
        <v>5725</v>
      </c>
      <c r="G197" s="508" t="s">
        <v>5726</v>
      </c>
      <c r="H197" s="508" t="s">
        <v>5727</v>
      </c>
      <c r="I197" s="2" t="s">
        <v>5728</v>
      </c>
      <c r="J197" s="507" t="s">
        <v>5729</v>
      </c>
      <c r="K197" s="507" t="s">
        <v>5730</v>
      </c>
      <c r="L197" s="507" t="s">
        <v>5731</v>
      </c>
      <c r="M197" s="507" t="s">
        <v>5732</v>
      </c>
      <c r="N197" s="507" t="s">
        <v>5733</v>
      </c>
    </row>
    <row r="198" spans="1:14" ht="28.8" x14ac:dyDescent="0.3">
      <c r="A198" s="2" t="s">
        <v>5734</v>
      </c>
      <c r="B198" s="506" t="str">
        <f t="shared" si="6"/>
        <v>Émissions totales de GES des scopes 1 et 2 (approche basée sur le marché)</v>
      </c>
      <c r="C198" s="2" t="s">
        <v>5735</v>
      </c>
      <c r="D198" s="501" t="s">
        <v>5736</v>
      </c>
      <c r="E198" s="501" t="s">
        <v>5737</v>
      </c>
      <c r="F198" s="501" t="s">
        <v>5738</v>
      </c>
      <c r="G198" s="508" t="s">
        <v>5739</v>
      </c>
      <c r="H198" s="508" t="s">
        <v>5740</v>
      </c>
      <c r="I198" s="2" t="s">
        <v>5741</v>
      </c>
      <c r="J198" s="507" t="s">
        <v>5729</v>
      </c>
      <c r="K198" s="507" t="s">
        <v>5742</v>
      </c>
      <c r="L198" s="507" t="s">
        <v>5743</v>
      </c>
      <c r="M198" s="507" t="s">
        <v>5744</v>
      </c>
      <c r="N198" s="507" t="s">
        <v>5745</v>
      </c>
    </row>
    <row r="199" spans="1:14" ht="28.8" x14ac:dyDescent="0.3">
      <c r="A199" s="2" t="s">
        <v>5746</v>
      </c>
      <c r="B199" s="506" t="str">
        <f t="shared" si="6"/>
        <v>L'entreprise publie-t-elle des informations spécifiques à l’entité sur les émissions du scope 3 (en tCO₂e) ?</v>
      </c>
      <c r="C199" s="2" t="s">
        <v>5747</v>
      </c>
      <c r="D199" s="501" t="s">
        <v>5748</v>
      </c>
      <c r="E199" s="501" t="s">
        <v>5749</v>
      </c>
      <c r="F199" s="501" t="s">
        <v>5750</v>
      </c>
      <c r="G199" s="508" t="s">
        <v>5751</v>
      </c>
      <c r="H199" s="508" t="s">
        <v>5752</v>
      </c>
      <c r="I199" s="2" t="s">
        <v>5753</v>
      </c>
      <c r="J199" s="507" t="s">
        <v>5754</v>
      </c>
      <c r="K199" s="507" t="s">
        <v>5755</v>
      </c>
      <c r="L199" s="507" t="s">
        <v>5756</v>
      </c>
      <c r="M199" s="507" t="s">
        <v>5757</v>
      </c>
      <c r="N199" s="507" t="s">
        <v>5758</v>
      </c>
    </row>
    <row r="200" spans="1:14" ht="28.8" x14ac:dyDescent="0.3">
      <c r="A200" s="2" t="s">
        <v>5759</v>
      </c>
      <c r="B200" s="506" t="str">
        <f t="shared" si="6"/>
        <v>1. Biens et services achetés</v>
      </c>
      <c r="C200" s="2" t="s">
        <v>5760</v>
      </c>
      <c r="D200" s="501" t="s">
        <v>5761</v>
      </c>
      <c r="E200" s="501" t="s">
        <v>5762</v>
      </c>
      <c r="F200" s="501" t="s">
        <v>5763</v>
      </c>
      <c r="G200" s="508" t="s">
        <v>5764</v>
      </c>
      <c r="H200" s="508" t="s">
        <v>5765</v>
      </c>
      <c r="I200" s="2" t="s">
        <v>5766</v>
      </c>
      <c r="J200" s="507" t="s">
        <v>5767</v>
      </c>
      <c r="K200" s="507" t="s">
        <v>5768</v>
      </c>
      <c r="L200" s="507" t="s">
        <v>5769</v>
      </c>
      <c r="M200" s="507" t="s">
        <v>5770</v>
      </c>
      <c r="N200" s="507" t="s">
        <v>5771</v>
      </c>
    </row>
    <row r="201" spans="1:14" x14ac:dyDescent="0.3">
      <c r="A201" s="2" t="s">
        <v>5772</v>
      </c>
      <c r="B201" s="506" t="str">
        <f t="shared" si="6"/>
        <v>2. Biens d'investissement</v>
      </c>
      <c r="C201" s="2" t="s">
        <v>5773</v>
      </c>
      <c r="D201" s="501" t="s">
        <v>5774</v>
      </c>
      <c r="E201" s="501" t="s">
        <v>5775</v>
      </c>
      <c r="F201" s="501" t="s">
        <v>5776</v>
      </c>
      <c r="G201" s="508" t="s">
        <v>5777</v>
      </c>
      <c r="H201" s="508" t="s">
        <v>5778</v>
      </c>
      <c r="I201" s="2" t="s">
        <v>5779</v>
      </c>
      <c r="J201" s="507" t="s">
        <v>5780</v>
      </c>
      <c r="K201" s="507" t="s">
        <v>5781</v>
      </c>
      <c r="L201" s="507" t="s">
        <v>5782</v>
      </c>
      <c r="M201" s="507" t="s">
        <v>5783</v>
      </c>
      <c r="N201" s="507" t="s">
        <v>5784</v>
      </c>
    </row>
    <row r="202" spans="1:14" ht="43.2" x14ac:dyDescent="0.3">
      <c r="A202" s="2" t="s">
        <v>5785</v>
      </c>
      <c r="B202" s="506" t="str">
        <f t="shared" si="6"/>
        <v>3. Activités relevant des secteurs des combustibles et de l’énergie (non incluses dans les scopes 1 et 2)</v>
      </c>
      <c r="C202" s="2" t="s">
        <v>5786</v>
      </c>
      <c r="D202" s="501" t="s">
        <v>5787</v>
      </c>
      <c r="E202" s="501" t="s">
        <v>5788</v>
      </c>
      <c r="F202" s="501" t="s">
        <v>5789</v>
      </c>
      <c r="G202" s="508" t="s">
        <v>5790</v>
      </c>
      <c r="H202" s="508" t="s">
        <v>5791</v>
      </c>
      <c r="I202" s="2" t="s">
        <v>5792</v>
      </c>
      <c r="J202" s="507" t="s">
        <v>5793</v>
      </c>
      <c r="K202" s="507" t="s">
        <v>5794</v>
      </c>
      <c r="L202" s="507" t="s">
        <v>5795</v>
      </c>
      <c r="M202" s="507" t="s">
        <v>5796</v>
      </c>
      <c r="N202" s="507" t="s">
        <v>5797</v>
      </c>
    </row>
    <row r="203" spans="1:14" ht="28.8" x14ac:dyDescent="0.3">
      <c r="A203" s="2" t="s">
        <v>5798</v>
      </c>
      <c r="B203" s="506" t="str">
        <f t="shared" si="6"/>
        <v xml:space="preserve">4. Transport et distribution en amont </v>
      </c>
      <c r="C203" s="2" t="s">
        <v>5799</v>
      </c>
      <c r="D203" s="501" t="s">
        <v>5800</v>
      </c>
      <c r="E203" s="501" t="s">
        <v>5801</v>
      </c>
      <c r="F203" s="501" t="s">
        <v>5802</v>
      </c>
      <c r="G203" s="508" t="s">
        <v>5803</v>
      </c>
      <c r="H203" s="508" t="s">
        <v>5804</v>
      </c>
      <c r="I203" s="2" t="s">
        <v>5805</v>
      </c>
      <c r="J203" s="507" t="s">
        <v>5806</v>
      </c>
      <c r="K203" s="507" t="s">
        <v>5807</v>
      </c>
      <c r="L203" s="507" t="s">
        <v>5808</v>
      </c>
      <c r="M203" s="507" t="s">
        <v>5809</v>
      </c>
      <c r="N203" s="507" t="s">
        <v>5810</v>
      </c>
    </row>
    <row r="204" spans="1:14" x14ac:dyDescent="0.3">
      <c r="A204" s="2" t="s">
        <v>5811</v>
      </c>
      <c r="B204" s="506" t="str">
        <f t="shared" si="6"/>
        <v>5. Déchets produits lors de l’exploitation</v>
      </c>
      <c r="C204" s="2" t="s">
        <v>5812</v>
      </c>
      <c r="D204" s="501" t="s">
        <v>5813</v>
      </c>
      <c r="E204" s="501" t="s">
        <v>5814</v>
      </c>
      <c r="F204" s="501" t="s">
        <v>5815</v>
      </c>
      <c r="G204" s="508" t="s">
        <v>5816</v>
      </c>
      <c r="H204" s="508" t="s">
        <v>5817</v>
      </c>
      <c r="I204" s="2" t="s">
        <v>5818</v>
      </c>
      <c r="J204" s="507" t="s">
        <v>5819</v>
      </c>
      <c r="K204" s="507" t="s">
        <v>5820</v>
      </c>
      <c r="L204" s="507" t="s">
        <v>5821</v>
      </c>
      <c r="M204" s="507" t="s">
        <v>5822</v>
      </c>
      <c r="N204" s="507" t="s">
        <v>5823</v>
      </c>
    </row>
    <row r="205" spans="1:14" x14ac:dyDescent="0.3">
      <c r="A205" s="2" t="s">
        <v>5824</v>
      </c>
      <c r="B205" s="506" t="str">
        <f t="shared" si="6"/>
        <v>6. Voyages d’affaires</v>
      </c>
      <c r="C205" s="2" t="s">
        <v>5825</v>
      </c>
      <c r="D205" s="501" t="s">
        <v>5826</v>
      </c>
      <c r="E205" s="501" t="s">
        <v>5827</v>
      </c>
      <c r="F205" s="501" t="s">
        <v>5828</v>
      </c>
      <c r="G205" s="508" t="s">
        <v>5829</v>
      </c>
      <c r="H205" s="508" t="s">
        <v>5830</v>
      </c>
      <c r="I205" s="2" t="s">
        <v>5831</v>
      </c>
      <c r="J205" s="507" t="s">
        <v>5832</v>
      </c>
      <c r="K205" s="507" t="s">
        <v>5833</v>
      </c>
      <c r="L205" s="507" t="s">
        <v>5834</v>
      </c>
      <c r="M205" s="507" t="s">
        <v>5835</v>
      </c>
      <c r="N205" s="507" t="s">
        <v>5836</v>
      </c>
    </row>
    <row r="206" spans="1:14" x14ac:dyDescent="0.3">
      <c r="A206" s="2" t="s">
        <v>5837</v>
      </c>
      <c r="B206" s="506" t="str">
        <f t="shared" si="6"/>
        <v>7. Déplacements domicile-travail des salariés</v>
      </c>
      <c r="C206" s="2" t="s">
        <v>5838</v>
      </c>
      <c r="D206" s="501" t="s">
        <v>5839</v>
      </c>
      <c r="E206" s="501" t="s">
        <v>5840</v>
      </c>
      <c r="F206" s="501" t="s">
        <v>5841</v>
      </c>
      <c r="G206" s="508" t="s">
        <v>5842</v>
      </c>
      <c r="H206" s="508" t="s">
        <v>5843</v>
      </c>
      <c r="I206" s="2" t="s">
        <v>5844</v>
      </c>
      <c r="J206" s="507" t="s">
        <v>5845</v>
      </c>
      <c r="K206" s="507" t="s">
        <v>5846</v>
      </c>
      <c r="L206" s="507" t="s">
        <v>5847</v>
      </c>
      <c r="M206" s="507" t="s">
        <v>5848</v>
      </c>
      <c r="N206" s="507" t="s">
        <v>5849</v>
      </c>
    </row>
    <row r="207" spans="1:14" ht="28.8" x14ac:dyDescent="0.3">
      <c r="A207" s="2" t="s">
        <v>5850</v>
      </c>
      <c r="B207" s="506" t="str">
        <f t="shared" si="6"/>
        <v>8. Actifs loués en amont</v>
      </c>
      <c r="C207" s="2" t="s">
        <v>5851</v>
      </c>
      <c r="D207" s="501" t="s">
        <v>5852</v>
      </c>
      <c r="E207" s="501" t="s">
        <v>5853</v>
      </c>
      <c r="F207" s="501" t="s">
        <v>5854</v>
      </c>
      <c r="G207" s="508" t="s">
        <v>5855</v>
      </c>
      <c r="H207" s="508" t="s">
        <v>5856</v>
      </c>
      <c r="I207" s="2" t="s">
        <v>5857</v>
      </c>
      <c r="J207" s="507" t="s">
        <v>5858</v>
      </c>
      <c r="K207" s="507" t="s">
        <v>5859</v>
      </c>
      <c r="L207" s="507" t="s">
        <v>5860</v>
      </c>
      <c r="M207" s="507" t="s">
        <v>5861</v>
      </c>
      <c r="N207" s="507" t="s">
        <v>5862</v>
      </c>
    </row>
    <row r="208" spans="1:14" ht="28.8" x14ac:dyDescent="0.3">
      <c r="A208" s="2" t="s">
        <v>5863</v>
      </c>
      <c r="B208" s="506" t="str">
        <f t="shared" si="6"/>
        <v>9. Acheminement en aval</v>
      </c>
      <c r="C208" s="2" t="s">
        <v>5864</v>
      </c>
      <c r="D208" s="501" t="s">
        <v>5865</v>
      </c>
      <c r="E208" s="501" t="s">
        <v>5866</v>
      </c>
      <c r="F208" s="501" t="s">
        <v>5867</v>
      </c>
      <c r="G208" s="508" t="s">
        <v>5868</v>
      </c>
      <c r="H208" s="508" t="s">
        <v>5869</v>
      </c>
      <c r="I208" s="2" t="s">
        <v>5870</v>
      </c>
      <c r="J208" s="507" t="s">
        <v>5871</v>
      </c>
      <c r="K208" s="507" t="s">
        <v>5872</v>
      </c>
      <c r="L208" s="507" t="s">
        <v>5873</v>
      </c>
      <c r="M208" s="507" t="s">
        <v>5874</v>
      </c>
      <c r="N208" s="507" t="s">
        <v>5875</v>
      </c>
    </row>
    <row r="209" spans="1:14" x14ac:dyDescent="0.3">
      <c r="A209" s="2" t="s">
        <v>5876</v>
      </c>
      <c r="B209" s="506" t="str">
        <f t="shared" si="6"/>
        <v>10. Transformation des produits vendus</v>
      </c>
      <c r="C209" s="2" t="s">
        <v>5877</v>
      </c>
      <c r="D209" s="501" t="s">
        <v>5878</v>
      </c>
      <c r="E209" s="501" t="s">
        <v>5879</v>
      </c>
      <c r="F209" s="501" t="s">
        <v>5880</v>
      </c>
      <c r="G209" s="508" t="s">
        <v>5881</v>
      </c>
      <c r="H209" s="508" t="s">
        <v>5882</v>
      </c>
      <c r="I209" s="2" t="s">
        <v>5883</v>
      </c>
      <c r="J209" s="507" t="s">
        <v>5884</v>
      </c>
      <c r="K209" s="507" t="s">
        <v>5885</v>
      </c>
      <c r="L209" s="507" t="s">
        <v>5886</v>
      </c>
      <c r="M209" s="507" t="s">
        <v>5887</v>
      </c>
      <c r="N209" s="507" t="s">
        <v>5888</v>
      </c>
    </row>
    <row r="210" spans="1:14" x14ac:dyDescent="0.3">
      <c r="A210" s="2" t="s">
        <v>5889</v>
      </c>
      <c r="B210" s="506" t="str">
        <f t="shared" si="6"/>
        <v>11. Utilisation des produits vendus</v>
      </c>
      <c r="C210" s="2" t="s">
        <v>5890</v>
      </c>
      <c r="D210" s="501" t="s">
        <v>5891</v>
      </c>
      <c r="E210" s="501" t="s">
        <v>5892</v>
      </c>
      <c r="F210" s="501" t="s">
        <v>5893</v>
      </c>
      <c r="G210" s="508" t="s">
        <v>5894</v>
      </c>
      <c r="H210" s="508" t="s">
        <v>5895</v>
      </c>
      <c r="I210" s="2" t="s">
        <v>5896</v>
      </c>
      <c r="J210" s="507" t="s">
        <v>5897</v>
      </c>
      <c r="K210" s="507" t="s">
        <v>5898</v>
      </c>
      <c r="L210" s="507" t="s">
        <v>5899</v>
      </c>
      <c r="M210" s="507" t="s">
        <v>5900</v>
      </c>
      <c r="N210" s="507" t="s">
        <v>5901</v>
      </c>
    </row>
    <row r="211" spans="1:14" ht="28.8" x14ac:dyDescent="0.3">
      <c r="A211" s="2" t="s">
        <v>5902</v>
      </c>
      <c r="B211" s="506" t="str">
        <f t="shared" si="6"/>
        <v>12. Traitement en fin de vie des produits vendus</v>
      </c>
      <c r="C211" s="2" t="s">
        <v>5903</v>
      </c>
      <c r="D211" s="501" t="s">
        <v>5904</v>
      </c>
      <c r="E211" s="501" t="s">
        <v>5905</v>
      </c>
      <c r="F211" s="501" t="s">
        <v>5906</v>
      </c>
      <c r="G211" s="508" t="s">
        <v>5907</v>
      </c>
      <c r="H211" s="508" t="s">
        <v>5908</v>
      </c>
      <c r="I211" s="2" t="s">
        <v>5909</v>
      </c>
      <c r="J211" s="507" t="s">
        <v>5910</v>
      </c>
      <c r="K211" s="507" t="s">
        <v>5911</v>
      </c>
      <c r="L211" s="507" t="s">
        <v>5912</v>
      </c>
      <c r="M211" s="507" t="s">
        <v>5913</v>
      </c>
      <c r="N211" s="507" t="s">
        <v>5914</v>
      </c>
    </row>
    <row r="212" spans="1:14" ht="28.8" x14ac:dyDescent="0.3">
      <c r="A212" s="2" t="s">
        <v>5915</v>
      </c>
      <c r="B212" s="506" t="str">
        <f t="shared" si="6"/>
        <v>13. Actifs loués en aval</v>
      </c>
      <c r="C212" s="2" t="s">
        <v>5916</v>
      </c>
      <c r="D212" s="501" t="s">
        <v>5917</v>
      </c>
      <c r="E212" s="501" t="s">
        <v>5918</v>
      </c>
      <c r="F212" s="501" t="s">
        <v>5919</v>
      </c>
      <c r="G212" s="508" t="s">
        <v>5920</v>
      </c>
      <c r="H212" s="508" t="s">
        <v>5921</v>
      </c>
      <c r="I212" s="2" t="s">
        <v>5922</v>
      </c>
      <c r="J212" s="507" t="s">
        <v>5923</v>
      </c>
      <c r="K212" s="507" t="s">
        <v>5924</v>
      </c>
      <c r="L212" s="507" t="s">
        <v>5925</v>
      </c>
      <c r="M212" s="507" t="s">
        <v>5926</v>
      </c>
      <c r="N212" s="507" t="s">
        <v>5927</v>
      </c>
    </row>
    <row r="213" spans="1:14" x14ac:dyDescent="0.3">
      <c r="A213" s="2" t="s">
        <v>5928</v>
      </c>
      <c r="B213" s="506" t="str">
        <f t="shared" si="6"/>
        <v>14. Franchises</v>
      </c>
      <c r="C213" s="2" t="s">
        <v>5929</v>
      </c>
      <c r="D213" s="501" t="s">
        <v>5930</v>
      </c>
      <c r="E213" s="501" t="s">
        <v>5929</v>
      </c>
      <c r="F213" s="501" t="s">
        <v>5929</v>
      </c>
      <c r="G213" s="508" t="s">
        <v>5929</v>
      </c>
      <c r="H213" s="508" t="s">
        <v>5931</v>
      </c>
      <c r="I213" s="2" t="s">
        <v>5932</v>
      </c>
      <c r="J213" s="507" t="s">
        <v>5933</v>
      </c>
      <c r="K213" s="507" t="s">
        <v>5934</v>
      </c>
      <c r="L213" s="507" t="s">
        <v>5935</v>
      </c>
      <c r="M213" s="507" t="s">
        <v>5936</v>
      </c>
      <c r="N213" s="507" t="s">
        <v>5937</v>
      </c>
    </row>
    <row r="214" spans="1:14" x14ac:dyDescent="0.3">
      <c r="A214" s="2" t="s">
        <v>5938</v>
      </c>
      <c r="B214" s="506" t="str">
        <f t="shared" si="6"/>
        <v>15. Investissements</v>
      </c>
      <c r="C214" s="2" t="s">
        <v>5939</v>
      </c>
      <c r="D214" s="501" t="s">
        <v>5940</v>
      </c>
      <c r="E214" s="501" t="s">
        <v>5941</v>
      </c>
      <c r="F214" s="501" t="s">
        <v>5942</v>
      </c>
      <c r="G214" s="508" t="s">
        <v>5943</v>
      </c>
      <c r="H214" s="508" t="s">
        <v>5944</v>
      </c>
      <c r="I214" s="2" t="s">
        <v>5945</v>
      </c>
      <c r="J214" s="507" t="s">
        <v>5946</v>
      </c>
      <c r="K214" s="507" t="s">
        <v>5947</v>
      </c>
      <c r="L214" s="507" t="s">
        <v>5948</v>
      </c>
      <c r="M214" s="507" t="s">
        <v>5949</v>
      </c>
      <c r="N214" s="507" t="s">
        <v>5950</v>
      </c>
    </row>
    <row r="215" spans="1:14" x14ac:dyDescent="0.3">
      <c r="A215" s="2" t="s">
        <v>5951</v>
      </c>
      <c r="B215" s="506" t="str">
        <f t="shared" si="6"/>
        <v>Émissions totales de GES du scope 3</v>
      </c>
      <c r="C215" s="2" t="s">
        <v>5952</v>
      </c>
      <c r="D215" s="501" t="s">
        <v>5953</v>
      </c>
      <c r="E215" s="501" t="s">
        <v>5954</v>
      </c>
      <c r="F215" s="501" t="s">
        <v>5955</v>
      </c>
      <c r="G215" s="508" t="s">
        <v>5956</v>
      </c>
      <c r="H215" s="508" t="s">
        <v>5957</v>
      </c>
      <c r="I215" s="2" t="s">
        <v>5958</v>
      </c>
      <c r="J215" s="507" t="s">
        <v>5959</v>
      </c>
      <c r="K215" s="507" t="s">
        <v>5960</v>
      </c>
      <c r="L215" s="507" t="s">
        <v>5961</v>
      </c>
      <c r="M215" s="507" t="s">
        <v>5962</v>
      </c>
      <c r="N215" s="507" t="s">
        <v>5963</v>
      </c>
    </row>
    <row r="216" spans="1:14" ht="28.8" x14ac:dyDescent="0.3">
      <c r="A216" s="2" t="s">
        <v>5964</v>
      </c>
      <c r="B216" s="506" t="str">
        <f t="shared" si="6"/>
        <v>Émissions totales de GES des scopes 1, 2 et 3 (approche basée sur la localisation)</v>
      </c>
      <c r="C216" s="2" t="s">
        <v>5965</v>
      </c>
      <c r="D216" s="501" t="s">
        <v>5966</v>
      </c>
      <c r="E216" s="501" t="s">
        <v>5967</v>
      </c>
      <c r="F216" s="501" t="s">
        <v>5968</v>
      </c>
      <c r="G216" s="508" t="s">
        <v>5969</v>
      </c>
      <c r="H216" s="508" t="s">
        <v>5970</v>
      </c>
      <c r="I216" s="2" t="s">
        <v>5971</v>
      </c>
      <c r="J216" s="507" t="s">
        <v>5972</v>
      </c>
      <c r="K216" s="507" t="s">
        <v>5973</v>
      </c>
      <c r="L216" s="507" t="s">
        <v>5974</v>
      </c>
      <c r="M216" s="507" t="s">
        <v>5975</v>
      </c>
      <c r="N216" s="507" t="s">
        <v>5976</v>
      </c>
    </row>
    <row r="217" spans="1:14" ht="29.4" thickBot="1" x14ac:dyDescent="0.35">
      <c r="A217" s="513" t="s">
        <v>5977</v>
      </c>
      <c r="B217" s="510" t="str">
        <f t="shared" si="6"/>
        <v>Émissions totales de GES des scopes 1, 2 et 3 (approche basée sur le marché)</v>
      </c>
      <c r="C217" s="513" t="s">
        <v>5978</v>
      </c>
      <c r="D217" s="509" t="s">
        <v>5979</v>
      </c>
      <c r="E217" s="509" t="s">
        <v>5980</v>
      </c>
      <c r="F217" s="509" t="s">
        <v>5981</v>
      </c>
      <c r="G217" s="512" t="s">
        <v>5982</v>
      </c>
      <c r="H217" s="512" t="s">
        <v>5983</v>
      </c>
      <c r="I217" s="513" t="s">
        <v>5984</v>
      </c>
      <c r="J217" s="511" t="s">
        <v>5985</v>
      </c>
      <c r="K217" s="511" t="s">
        <v>5986</v>
      </c>
      <c r="L217" s="511" t="s">
        <v>5987</v>
      </c>
      <c r="M217" s="511" t="s">
        <v>5988</v>
      </c>
      <c r="N217" s="511" t="s">
        <v>5989</v>
      </c>
    </row>
    <row r="218" spans="1:14" ht="43.2" x14ac:dyDescent="0.3">
      <c r="A218" s="2" t="s">
        <v>5990</v>
      </c>
      <c r="B218" s="506" t="str">
        <f t="shared" si="6"/>
        <v>C3 - Publication de la liste des principales actions que l'entreprise entend mettre en œuvre pour atteindre ses cibles</v>
      </c>
      <c r="C218" s="2" t="s">
        <v>5991</v>
      </c>
      <c r="D218" s="501" t="s">
        <v>5992</v>
      </c>
      <c r="E218" s="501" t="s">
        <v>5993</v>
      </c>
      <c r="F218" s="501" t="s">
        <v>5994</v>
      </c>
      <c r="G218" s="508" t="s">
        <v>5995</v>
      </c>
      <c r="H218" s="508" t="s">
        <v>5996</v>
      </c>
      <c r="I218" s="2" t="s">
        <v>5997</v>
      </c>
      <c r="J218" s="507" t="s">
        <v>5998</v>
      </c>
      <c r="K218" s="507" t="s">
        <v>5999</v>
      </c>
      <c r="L218" s="507" t="s">
        <v>6000</v>
      </c>
      <c r="M218" s="507" t="s">
        <v>6001</v>
      </c>
      <c r="N218" s="507" t="s">
        <v>6002</v>
      </c>
    </row>
    <row r="219" spans="1:14" ht="28.8" x14ac:dyDescent="0.3">
      <c r="A219" s="2" t="s">
        <v>6003</v>
      </c>
      <c r="B219" s="506" t="str">
        <f t="shared" si="6"/>
        <v>C3 - Plan de transition pour les entreprises opérant dans des secteurs à fort impact climatique</v>
      </c>
      <c r="C219" s="2" t="s">
        <v>6004</v>
      </c>
      <c r="D219" s="501" t="s">
        <v>6005</v>
      </c>
      <c r="E219" s="501" t="s">
        <v>6006</v>
      </c>
      <c r="F219" s="501" t="s">
        <v>6007</v>
      </c>
      <c r="G219" s="508" t="s">
        <v>6008</v>
      </c>
      <c r="H219" s="508" t="s">
        <v>6009</v>
      </c>
      <c r="I219" s="2" t="s">
        <v>6010</v>
      </c>
      <c r="J219" s="507" t="s">
        <v>6011</v>
      </c>
      <c r="K219" s="507" t="s">
        <v>6012</v>
      </c>
      <c r="L219" s="507" t="s">
        <v>6013</v>
      </c>
      <c r="M219" s="507" t="s">
        <v>6014</v>
      </c>
      <c r="N219" s="507" t="s">
        <v>6015</v>
      </c>
    </row>
    <row r="220" spans="1:14" ht="28.8" x14ac:dyDescent="0.3">
      <c r="A220" s="2" t="s">
        <v>6016</v>
      </c>
      <c r="B220" s="506" t="str">
        <f t="shared" si="6"/>
        <v>L'entreprise opère-t-elle dans des secteurs à fort impact ?</v>
      </c>
      <c r="C220" s="2" t="s">
        <v>6017</v>
      </c>
      <c r="D220" s="501" t="s">
        <v>6018</v>
      </c>
      <c r="E220" s="501" t="s">
        <v>6019</v>
      </c>
      <c r="F220" s="501" t="s">
        <v>6020</v>
      </c>
      <c r="G220" s="508" t="s">
        <v>6021</v>
      </c>
      <c r="H220" s="508" t="s">
        <v>6022</v>
      </c>
      <c r="I220" s="2" t="s">
        <v>6023</v>
      </c>
      <c r="J220" s="507" t="s">
        <v>6024</v>
      </c>
      <c r="K220" s="507" t="s">
        <v>6025</v>
      </c>
      <c r="L220" s="507" t="s">
        <v>6026</v>
      </c>
      <c r="M220" s="507" t="s">
        <v>6027</v>
      </c>
      <c r="N220" s="507" t="s">
        <v>6028</v>
      </c>
    </row>
    <row r="221" spans="1:14" ht="28.8" x14ac:dyDescent="0.3">
      <c r="A221" s="2" t="s">
        <v>6029</v>
      </c>
      <c r="B221" s="506" t="str">
        <f t="shared" si="6"/>
        <v>Statut de la mise en œuvre d’un plan de transition en relation avec l’atténuation du changement climatique</v>
      </c>
      <c r="C221" s="2" t="s">
        <v>6030</v>
      </c>
      <c r="D221" s="501" t="s">
        <v>6031</v>
      </c>
      <c r="E221" s="501" t="s">
        <v>6032</v>
      </c>
      <c r="F221" s="501" t="s">
        <v>6033</v>
      </c>
      <c r="G221" s="508" t="s">
        <v>6034</v>
      </c>
      <c r="H221" s="508" t="s">
        <v>6035</v>
      </c>
      <c r="I221" s="2" t="s">
        <v>6036</v>
      </c>
      <c r="J221" s="507" t="s">
        <v>6037</v>
      </c>
      <c r="K221" s="507" t="s">
        <v>6038</v>
      </c>
      <c r="L221" s="507" t="s">
        <v>6039</v>
      </c>
      <c r="M221" s="507" t="s">
        <v>6040</v>
      </c>
      <c r="N221" s="507" t="s">
        <v>6041</v>
      </c>
    </row>
    <row r="222" spans="1:14" ht="72" x14ac:dyDescent="0.3">
      <c r="A222" s="2" t="s">
        <v>6042</v>
      </c>
      <c r="B222" s="506" t="str">
        <f t="shared" si="6"/>
        <v>Description d’un plan de transition pour l’atténuation du changement climatique comprenant une explication de la manière dont il contribue à réduire les émissions de GES</v>
      </c>
      <c r="C222" s="2" t="s">
        <v>6043</v>
      </c>
      <c r="D222" s="501" t="s">
        <v>6044</v>
      </c>
      <c r="E222" s="501" t="s">
        <v>6045</v>
      </c>
      <c r="F222" s="501" t="s">
        <v>6046</v>
      </c>
      <c r="G222" s="508" t="s">
        <v>6047</v>
      </c>
      <c r="H222" s="508" t="s">
        <v>6048</v>
      </c>
      <c r="I222" s="2" t="s">
        <v>6049</v>
      </c>
      <c r="J222" s="507" t="s">
        <v>6050</v>
      </c>
      <c r="K222" s="507" t="s">
        <v>6051</v>
      </c>
      <c r="L222" s="507" t="s">
        <v>6052</v>
      </c>
      <c r="M222" s="507" t="s">
        <v>6053</v>
      </c>
      <c r="N222" s="507" t="s">
        <v>6054</v>
      </c>
    </row>
    <row r="223" spans="1:14" ht="43.2" x14ac:dyDescent="0.3">
      <c r="A223" s="2" t="s">
        <v>6055</v>
      </c>
      <c r="B223" s="506" t="str">
        <f t="shared" si="6"/>
        <v>Date prévue d’adoption du plan de transition pour l’entreprise n’ayant pas encore adopté de plan de transition</v>
      </c>
      <c r="C223" s="2" t="s">
        <v>6056</v>
      </c>
      <c r="D223" s="501" t="s">
        <v>6057</v>
      </c>
      <c r="E223" s="501" t="s">
        <v>6058</v>
      </c>
      <c r="F223" s="501" t="s">
        <v>6059</v>
      </c>
      <c r="G223" s="508" t="s">
        <v>6060</v>
      </c>
      <c r="H223" s="508" t="s">
        <v>6061</v>
      </c>
      <c r="I223" s="2" t="s">
        <v>6062</v>
      </c>
      <c r="J223" s="507" t="s">
        <v>6063</v>
      </c>
      <c r="K223" s="507" t="s">
        <v>6064</v>
      </c>
      <c r="L223" s="507" t="s">
        <v>6065</v>
      </c>
      <c r="M223" s="507" t="s">
        <v>6066</v>
      </c>
      <c r="N223" s="507" t="s">
        <v>6067</v>
      </c>
    </row>
    <row r="224" spans="1:14" ht="28.8" x14ac:dyDescent="0.3">
      <c r="A224" s="2" t="s">
        <v>6068</v>
      </c>
      <c r="B224" s="506" t="str">
        <f t="shared" si="6"/>
        <v>Année</v>
      </c>
      <c r="C224" s="2" t="s">
        <v>301</v>
      </c>
      <c r="D224" s="501" t="s">
        <v>6069</v>
      </c>
      <c r="E224" s="501" t="s">
        <v>6070</v>
      </c>
      <c r="F224" s="501" t="s">
        <v>6071</v>
      </c>
      <c r="G224" s="508" t="s">
        <v>6072</v>
      </c>
      <c r="H224" s="508" t="s">
        <v>6073</v>
      </c>
      <c r="I224" s="2" t="s">
        <v>6074</v>
      </c>
      <c r="J224" s="507" t="s">
        <v>6075</v>
      </c>
      <c r="K224" s="507" t="s">
        <v>6076</v>
      </c>
      <c r="L224" s="507" t="s">
        <v>6077</v>
      </c>
      <c r="M224" s="507" t="s">
        <v>6078</v>
      </c>
      <c r="N224" s="507" t="s">
        <v>6079</v>
      </c>
    </row>
    <row r="225" spans="1:14" x14ac:dyDescent="0.3">
      <c r="A225" s="2" t="s">
        <v>6080</v>
      </c>
      <c r="B225" s="506" t="str">
        <f t="shared" si="6"/>
        <v>Mois</v>
      </c>
      <c r="C225" s="2" t="s">
        <v>302</v>
      </c>
      <c r="D225" s="501" t="s">
        <v>6081</v>
      </c>
      <c r="E225" s="501" t="s">
        <v>6082</v>
      </c>
      <c r="F225" s="501" t="s">
        <v>6083</v>
      </c>
      <c r="G225" s="508" t="s">
        <v>6084</v>
      </c>
      <c r="H225" s="508" t="s">
        <v>6085</v>
      </c>
      <c r="I225" s="2" t="s">
        <v>6086</v>
      </c>
      <c r="J225" s="507" t="s">
        <v>6087</v>
      </c>
      <c r="K225" s="507" t="s">
        <v>6088</v>
      </c>
      <c r="L225" s="507" t="s">
        <v>6089</v>
      </c>
      <c r="M225" s="507" t="s">
        <v>6090</v>
      </c>
      <c r="N225" s="507" t="s">
        <v>6091</v>
      </c>
    </row>
    <row r="226" spans="1:14" x14ac:dyDescent="0.3">
      <c r="A226" s="2" t="s">
        <v>6092</v>
      </c>
      <c r="B226" s="506" t="str">
        <f t="shared" si="6"/>
        <v>Jour</v>
      </c>
      <c r="C226" s="2" t="s">
        <v>6093</v>
      </c>
      <c r="D226" s="501" t="s">
        <v>6094</v>
      </c>
      <c r="E226" s="501" t="s">
        <v>6094</v>
      </c>
      <c r="F226" s="501" t="s">
        <v>6095</v>
      </c>
      <c r="G226" s="508" t="s">
        <v>6096</v>
      </c>
      <c r="H226" s="508" t="s">
        <v>6097</v>
      </c>
      <c r="I226" s="2" t="s">
        <v>6098</v>
      </c>
      <c r="J226" s="507" t="s">
        <v>6099</v>
      </c>
      <c r="K226" s="507" t="s">
        <v>6100</v>
      </c>
      <c r="L226" s="507" t="s">
        <v>6101</v>
      </c>
      <c r="M226" s="507" t="s">
        <v>6102</v>
      </c>
      <c r="N226" s="507" t="s">
        <v>6103</v>
      </c>
    </row>
    <row r="227" spans="1:14" ht="28.8" x14ac:dyDescent="0.3">
      <c r="A227" s="2" t="s">
        <v>6104</v>
      </c>
      <c r="B227" s="506" t="str">
        <f t="shared" si="6"/>
        <v>B3 - Intensité des émissions de gaz à effet de serre sur la base du chiffre d'affaires (en  tCO₂e)</v>
      </c>
      <c r="C227" s="2" t="s">
        <v>6105</v>
      </c>
      <c r="D227" s="501" t="s">
        <v>6106</v>
      </c>
      <c r="E227" s="501" t="s">
        <v>6107</v>
      </c>
      <c r="F227" s="501" t="s">
        <v>6108</v>
      </c>
      <c r="G227" s="508" t="s">
        <v>6109</v>
      </c>
      <c r="H227" s="508" t="s">
        <v>6110</v>
      </c>
      <c r="I227" s="2" t="s">
        <v>6111</v>
      </c>
      <c r="J227" s="507" t="s">
        <v>6112</v>
      </c>
      <c r="K227" s="507" t="s">
        <v>6113</v>
      </c>
      <c r="L227" s="507" t="s">
        <v>6114</v>
      </c>
      <c r="M227" s="507" t="s">
        <v>6115</v>
      </c>
      <c r="N227" s="507" t="s">
        <v>6116</v>
      </c>
    </row>
    <row r="228" spans="1:14" ht="28.8" x14ac:dyDescent="0.3">
      <c r="A228" s="2" t="s">
        <v>6117</v>
      </c>
      <c r="B228" s="506" t="str">
        <f t="shared" si="6"/>
        <v>Intensité des émissions de GES des scopes 1 et 2 (approche basée sur la localisation)</v>
      </c>
      <c r="C228" s="2" t="s">
        <v>6118</v>
      </c>
      <c r="D228" s="501" t="s">
        <v>6119</v>
      </c>
      <c r="E228" s="501" t="s">
        <v>6120</v>
      </c>
      <c r="F228" s="501" t="s">
        <v>6121</v>
      </c>
      <c r="G228" s="508" t="s">
        <v>6122</v>
      </c>
      <c r="H228" s="508" t="s">
        <v>6123</v>
      </c>
      <c r="I228" s="2" t="s">
        <v>6124</v>
      </c>
      <c r="J228" s="507" t="s">
        <v>6125</v>
      </c>
      <c r="K228" s="507" t="s">
        <v>6126</v>
      </c>
      <c r="L228" s="507" t="s">
        <v>6127</v>
      </c>
      <c r="M228" s="507" t="s">
        <v>6128</v>
      </c>
      <c r="N228" s="507" t="s">
        <v>6129</v>
      </c>
    </row>
    <row r="229" spans="1:14" ht="28.8" x14ac:dyDescent="0.3">
      <c r="A229" s="2" t="s">
        <v>6130</v>
      </c>
      <c r="B229" s="506" t="str">
        <f t="shared" si="6"/>
        <v>Intensité des émissions de GES des scopes 1 et 2 (approche basée sur le marché)</v>
      </c>
      <c r="C229" s="2" t="s">
        <v>6131</v>
      </c>
      <c r="D229" s="501" t="s">
        <v>6132</v>
      </c>
      <c r="E229" s="501" t="s">
        <v>6133</v>
      </c>
      <c r="F229" s="501" t="s">
        <v>6134</v>
      </c>
      <c r="G229" s="508" t="s">
        <v>6135</v>
      </c>
      <c r="H229" s="508" t="s">
        <v>6136</v>
      </c>
      <c r="I229" s="2" t="s">
        <v>6137</v>
      </c>
      <c r="J229" s="507" t="s">
        <v>6138</v>
      </c>
      <c r="K229" s="507" t="s">
        <v>6139</v>
      </c>
      <c r="L229" s="507" t="s">
        <v>6140</v>
      </c>
      <c r="M229" s="507" t="s">
        <v>6141</v>
      </c>
      <c r="N229" s="507" t="s">
        <v>6142</v>
      </c>
    </row>
    <row r="230" spans="1:14" ht="28.8" x14ac:dyDescent="0.3">
      <c r="A230" s="2" t="s">
        <v>6143</v>
      </c>
      <c r="B230" s="506" t="str">
        <f t="shared" si="6"/>
        <v>Intensité des émissions totales de GES des scopes 1, 2 et 3 (approche basée sur la localisation)</v>
      </c>
      <c r="C230" s="2" t="s">
        <v>6144</v>
      </c>
      <c r="D230" s="501" t="s">
        <v>6145</v>
      </c>
      <c r="E230" s="501" t="s">
        <v>6146</v>
      </c>
      <c r="F230" s="501" t="s">
        <v>6147</v>
      </c>
      <c r="G230" s="508" t="s">
        <v>6148</v>
      </c>
      <c r="H230" s="508" t="s">
        <v>6149</v>
      </c>
      <c r="I230" s="2" t="s">
        <v>6150</v>
      </c>
      <c r="J230" s="507" t="s">
        <v>6151</v>
      </c>
      <c r="K230" s="507" t="s">
        <v>6152</v>
      </c>
      <c r="L230" s="507" t="s">
        <v>6153</v>
      </c>
      <c r="M230" s="507" t="s">
        <v>6154</v>
      </c>
      <c r="N230" s="507" t="s">
        <v>6155</v>
      </c>
    </row>
    <row r="231" spans="1:14" ht="29.4" thickBot="1" x14ac:dyDescent="0.35">
      <c r="A231" s="513" t="s">
        <v>6156</v>
      </c>
      <c r="B231" s="510" t="str">
        <f t="shared" si="6"/>
        <v>Intensité des émissions totales de GES des scopes 1, 2 et 3 (approche basée sur le marché)</v>
      </c>
      <c r="C231" s="513" t="s">
        <v>6157</v>
      </c>
      <c r="D231" s="509" t="s">
        <v>6158</v>
      </c>
      <c r="E231" s="509" t="s">
        <v>6159</v>
      </c>
      <c r="F231" s="509" t="s">
        <v>6160</v>
      </c>
      <c r="G231" s="512" t="s">
        <v>6161</v>
      </c>
      <c r="H231" s="512" t="s">
        <v>6162</v>
      </c>
      <c r="I231" s="513" t="s">
        <v>6163</v>
      </c>
      <c r="J231" s="511" t="s">
        <v>6164</v>
      </c>
      <c r="K231" s="511" t="s">
        <v>6165</v>
      </c>
      <c r="L231" s="511" t="s">
        <v>6166</v>
      </c>
      <c r="M231" s="511" t="s">
        <v>6167</v>
      </c>
      <c r="N231" s="511" t="s">
        <v>6168</v>
      </c>
    </row>
    <row r="232" spans="1:14" x14ac:dyDescent="0.3">
      <c r="A232" s="2" t="s">
        <v>6169</v>
      </c>
      <c r="B232" s="506" t="str">
        <f t="shared" si="6"/>
        <v>Pollution de l'air, de l'eau et des sols</v>
      </c>
      <c r="C232" s="2" t="s">
        <v>6170</v>
      </c>
      <c r="D232" s="501" t="s">
        <v>4146</v>
      </c>
      <c r="E232" s="501" t="s">
        <v>6171</v>
      </c>
      <c r="F232" s="501" t="s">
        <v>6172</v>
      </c>
      <c r="G232" s="508" t="s">
        <v>6173</v>
      </c>
      <c r="H232" s="508" t="s">
        <v>6174</v>
      </c>
      <c r="I232" s="2" t="s">
        <v>4151</v>
      </c>
      <c r="J232" s="507" t="s">
        <v>6175</v>
      </c>
      <c r="K232" s="507" t="s">
        <v>4153</v>
      </c>
      <c r="L232" s="507" t="s">
        <v>4154</v>
      </c>
      <c r="M232" s="507" t="s">
        <v>6176</v>
      </c>
      <c r="N232" s="507" t="s">
        <v>4156</v>
      </c>
    </row>
    <row r="233" spans="1:14" ht="72" x14ac:dyDescent="0.3">
      <c r="A233" s="2" t="s">
        <v>6177</v>
      </c>
      <c r="B233" s="506" t="str">
        <f t="shared" si="6"/>
        <v>L’entreprise est-elle déjà tenue, en vertu de la législation ou d’autres réglementations nationales, de déclarer aux autorités compétentes ses émissions de polluants, ou les déclare-t-elle déjà volontairement conformément à un système de management environnemental ?</v>
      </c>
      <c r="C233" s="2" t="s">
        <v>6178</v>
      </c>
      <c r="D233" s="501" t="s">
        <v>6179</v>
      </c>
      <c r="E233" s="501" t="s">
        <v>6180</v>
      </c>
      <c r="F233" s="501" t="s">
        <v>6181</v>
      </c>
      <c r="G233" s="508" t="s">
        <v>6182</v>
      </c>
      <c r="H233" s="508" t="s">
        <v>6183</v>
      </c>
      <c r="I233" s="2" t="s">
        <v>6184</v>
      </c>
      <c r="J233" s="507" t="s">
        <v>6185</v>
      </c>
      <c r="K233" s="507" t="s">
        <v>6186</v>
      </c>
      <c r="L233" s="507" t="s">
        <v>6187</v>
      </c>
      <c r="M233" s="507" t="s">
        <v>6188</v>
      </c>
      <c r="N233" s="507" t="s">
        <v>6189</v>
      </c>
    </row>
    <row r="234" spans="1:14" ht="28.8" x14ac:dyDescent="0.3">
      <c r="A234" s="2" t="s">
        <v>6190</v>
      </c>
      <c r="B234" s="506" t="str">
        <f t="shared" si="6"/>
        <v>Cette information est-elle déjà accessible au public ?</v>
      </c>
      <c r="C234" s="2" t="s">
        <v>6191</v>
      </c>
      <c r="D234" s="501" t="s">
        <v>6192</v>
      </c>
      <c r="E234" s="501" t="s">
        <v>6193</v>
      </c>
      <c r="F234" s="501" t="s">
        <v>6194</v>
      </c>
      <c r="G234" s="508" t="s">
        <v>6195</v>
      </c>
      <c r="H234" s="508" t="s">
        <v>6196</v>
      </c>
      <c r="I234" s="2" t="s">
        <v>6197</v>
      </c>
      <c r="J234" s="507" t="s">
        <v>6198</v>
      </c>
      <c r="K234" s="507" t="s">
        <v>6199</v>
      </c>
      <c r="L234" s="507" t="s">
        <v>6200</v>
      </c>
      <c r="M234" s="507" t="s">
        <v>6201</v>
      </c>
      <c r="N234" s="507" t="s">
        <v>6202</v>
      </c>
    </row>
    <row r="235" spans="1:14" ht="28.8" x14ac:dyDescent="0.3">
      <c r="A235" s="2" t="s">
        <v>6203</v>
      </c>
      <c r="B235" s="506" t="str">
        <f t="shared" si="6"/>
        <v>Veuillez fournir le lien URL pertinent ou l’hyperlien indiquant où ces informations sont publiées.</v>
      </c>
      <c r="C235" s="2" t="s">
        <v>6204</v>
      </c>
      <c r="D235" s="501" t="s">
        <v>6205</v>
      </c>
      <c r="E235" s="501" t="s">
        <v>6206</v>
      </c>
      <c r="F235" s="501" t="s">
        <v>6207</v>
      </c>
      <c r="G235" s="508" t="s">
        <v>6208</v>
      </c>
      <c r="H235" s="508" t="s">
        <v>6209</v>
      </c>
      <c r="I235" s="2" t="s">
        <v>6210</v>
      </c>
      <c r="J235" s="507" t="s">
        <v>6211</v>
      </c>
      <c r="K235" s="507" t="s">
        <v>6212</v>
      </c>
      <c r="L235" s="507" t="s">
        <v>6213</v>
      </c>
      <c r="M235" s="507" t="s">
        <v>6214</v>
      </c>
      <c r="N235" s="507" t="s">
        <v>6215</v>
      </c>
    </row>
    <row r="236" spans="1:14" ht="28.8" x14ac:dyDescent="0.3">
      <c r="A236" s="2" t="s">
        <v>6216</v>
      </c>
      <c r="B236" s="506" t="str">
        <f t="shared" ref="B236:B299" si="7">INDEX(C236:N236,MATCH(template_selected_display_language,$C$3:$N$3,0))</f>
        <v>Veuillez sélectionner l'unité utilisée pour reporter la quantité (c.-à-d. soit en kg ou en tonne)</v>
      </c>
      <c r="C236" s="2" t="s">
        <v>6217</v>
      </c>
      <c r="D236" s="501" t="s">
        <v>6218</v>
      </c>
      <c r="E236" s="501" t="s">
        <v>6219</v>
      </c>
      <c r="F236" s="501" t="s">
        <v>6220</v>
      </c>
      <c r="G236" s="508" t="s">
        <v>6221</v>
      </c>
      <c r="H236" s="508" t="s">
        <v>6222</v>
      </c>
      <c r="I236" s="2" t="s">
        <v>6223</v>
      </c>
      <c r="J236" s="507" t="s">
        <v>6224</v>
      </c>
      <c r="K236" s="507" t="s">
        <v>6225</v>
      </c>
      <c r="L236" s="507" t="s">
        <v>6226</v>
      </c>
      <c r="M236" s="507" t="s">
        <v>6227</v>
      </c>
      <c r="N236" s="507" t="s">
        <v>6228</v>
      </c>
    </row>
    <row r="237" spans="1:14" x14ac:dyDescent="0.3">
      <c r="A237" s="2" t="s">
        <v>6229</v>
      </c>
      <c r="B237" s="506" t="str">
        <f t="shared" si="7"/>
        <v>ID de ligne</v>
      </c>
      <c r="C237" s="2" t="s">
        <v>6230</v>
      </c>
      <c r="D237" s="501" t="s">
        <v>6231</v>
      </c>
      <c r="E237" s="501" t="s">
        <v>6232</v>
      </c>
      <c r="F237" s="501" t="s">
        <v>6233</v>
      </c>
      <c r="G237" s="508" t="s">
        <v>6234</v>
      </c>
      <c r="H237" s="508" t="s">
        <v>6235</v>
      </c>
      <c r="I237" s="2" t="s">
        <v>6236</v>
      </c>
      <c r="J237" s="507" t="s">
        <v>6237</v>
      </c>
      <c r="K237" s="507" t="s">
        <v>6238</v>
      </c>
      <c r="L237" s="507" t="s">
        <v>6239</v>
      </c>
      <c r="M237" s="507" t="s">
        <v>6240</v>
      </c>
      <c r="N237" s="507" t="s">
        <v>6241</v>
      </c>
    </row>
    <row r="238" spans="1:14" ht="43.2" x14ac:dyDescent="0.3">
      <c r="A238" s="2" t="s">
        <v>6242</v>
      </c>
      <c r="B238" s="506" t="str">
        <f t="shared" si="7"/>
        <v>Polluant</v>
      </c>
      <c r="C238" s="2" t="s">
        <v>6243</v>
      </c>
      <c r="D238" s="501" t="s">
        <v>6244</v>
      </c>
      <c r="E238" s="501" t="s">
        <v>6245</v>
      </c>
      <c r="F238" s="501" t="s">
        <v>6246</v>
      </c>
      <c r="G238" s="508" t="s">
        <v>6247</v>
      </c>
      <c r="H238" s="508" t="s">
        <v>6248</v>
      </c>
      <c r="I238" s="2" t="s">
        <v>6249</v>
      </c>
      <c r="J238" s="507" t="s">
        <v>6250</v>
      </c>
      <c r="K238" s="507" t="s">
        <v>6251</v>
      </c>
      <c r="L238" s="507" t="s">
        <v>6252</v>
      </c>
      <c r="M238" s="507" t="s">
        <v>6253</v>
      </c>
      <c r="N238" s="507" t="s">
        <v>6254</v>
      </c>
    </row>
    <row r="239" spans="1:14" x14ac:dyDescent="0.3">
      <c r="A239" s="2" t="s">
        <v>6255</v>
      </c>
      <c r="B239" s="506" t="str">
        <f t="shared" si="7"/>
        <v>Rejets dans l'air</v>
      </c>
      <c r="C239" s="2" t="s">
        <v>6256</v>
      </c>
      <c r="D239" s="501" t="s">
        <v>6257</v>
      </c>
      <c r="E239" s="501" t="s">
        <v>6258</v>
      </c>
      <c r="F239" s="501" t="s">
        <v>6259</v>
      </c>
      <c r="G239" s="508" t="s">
        <v>6260</v>
      </c>
      <c r="H239" s="508" t="s">
        <v>6261</v>
      </c>
      <c r="I239" s="2" t="s">
        <v>6262</v>
      </c>
      <c r="J239" s="507" t="s">
        <v>6263</v>
      </c>
      <c r="K239" s="507" t="s">
        <v>6264</v>
      </c>
      <c r="L239" s="507" t="s">
        <v>6265</v>
      </c>
      <c r="M239" s="507" t="s">
        <v>6266</v>
      </c>
      <c r="N239" s="507" t="s">
        <v>6267</v>
      </c>
    </row>
    <row r="240" spans="1:14" x14ac:dyDescent="0.3">
      <c r="A240" s="2" t="s">
        <v>6268</v>
      </c>
      <c r="B240" s="506" t="str">
        <f t="shared" si="7"/>
        <v>Rejets dans l'eau</v>
      </c>
      <c r="C240" s="2" t="s">
        <v>6269</v>
      </c>
      <c r="D240" s="501" t="s">
        <v>6270</v>
      </c>
      <c r="E240" s="501" t="s">
        <v>6271</v>
      </c>
      <c r="F240" s="501" t="s">
        <v>6272</v>
      </c>
      <c r="G240" s="508" t="s">
        <v>6273</v>
      </c>
      <c r="H240" s="508" t="s">
        <v>6274</v>
      </c>
      <c r="I240" s="2" t="s">
        <v>6275</v>
      </c>
      <c r="J240" s="507" t="s">
        <v>6276</v>
      </c>
      <c r="K240" s="507" t="s">
        <v>6277</v>
      </c>
      <c r="L240" s="507" t="s">
        <v>6278</v>
      </c>
      <c r="M240" s="507" t="s">
        <v>6279</v>
      </c>
      <c r="N240" s="507" t="s">
        <v>6280</v>
      </c>
    </row>
    <row r="241" spans="1:14" ht="15" thickBot="1" x14ac:dyDescent="0.35">
      <c r="A241" s="513" t="s">
        <v>6281</v>
      </c>
      <c r="B241" s="510" t="str">
        <f t="shared" si="7"/>
        <v>Rejets dans les sols</v>
      </c>
      <c r="C241" s="513" t="s">
        <v>6282</v>
      </c>
      <c r="D241" s="509" t="s">
        <v>6283</v>
      </c>
      <c r="E241" s="509" t="s">
        <v>6284</v>
      </c>
      <c r="F241" s="509" t="s">
        <v>6285</v>
      </c>
      <c r="G241" s="512" t="s">
        <v>6286</v>
      </c>
      <c r="H241" s="512" t="s">
        <v>6287</v>
      </c>
      <c r="I241" s="513" t="s">
        <v>6288</v>
      </c>
      <c r="J241" s="511" t="s">
        <v>6289</v>
      </c>
      <c r="K241" s="511" t="s">
        <v>6290</v>
      </c>
      <c r="L241" s="511" t="s">
        <v>6291</v>
      </c>
      <c r="M241" s="511" t="s">
        <v>6292</v>
      </c>
      <c r="N241" s="511" t="s">
        <v>6293</v>
      </c>
    </row>
    <row r="242" spans="1:14" ht="28.8" x14ac:dyDescent="0.3">
      <c r="A242" s="2" t="s">
        <v>6294</v>
      </c>
      <c r="B242" s="506" t="str">
        <f t="shared" si="7"/>
        <v>B5 – Sites situés dans des zones sensibles sur le plan de la biodiversité</v>
      </c>
      <c r="C242" s="2" t="s">
        <v>6295</v>
      </c>
      <c r="D242" s="501" t="s">
        <v>6296</v>
      </c>
      <c r="E242" s="501" t="s">
        <v>6297</v>
      </c>
      <c r="F242" s="501" t="s">
        <v>6298</v>
      </c>
      <c r="G242" s="508" t="s">
        <v>6299</v>
      </c>
      <c r="H242" s="508" t="s">
        <v>6300</v>
      </c>
      <c r="I242" s="2" t="s">
        <v>6301</v>
      </c>
      <c r="J242" s="507" t="s">
        <v>6302</v>
      </c>
      <c r="K242" s="507" t="s">
        <v>6303</v>
      </c>
      <c r="L242" s="507" t="s">
        <v>6304</v>
      </c>
      <c r="M242" s="507" t="s">
        <v>6305</v>
      </c>
      <c r="N242" s="507" t="s">
        <v>6306</v>
      </c>
    </row>
    <row r="243" spans="1:14" ht="43.2" x14ac:dyDescent="0.3">
      <c r="A243" s="2" t="s">
        <v>6307</v>
      </c>
      <c r="B243" s="506" t="str">
        <f t="shared" si="7"/>
        <v>L'entreprise dispose-t-elle de sites situés dans ou à proximité de zones sensibles sur le plan de la biodiversité ?</v>
      </c>
      <c r="C243" s="2" t="s">
        <v>6308</v>
      </c>
      <c r="D243" s="501" t="s">
        <v>6309</v>
      </c>
      <c r="E243" s="501" t="s">
        <v>6310</v>
      </c>
      <c r="F243" s="501" t="s">
        <v>6311</v>
      </c>
      <c r="G243" s="508" t="s">
        <v>6312</v>
      </c>
      <c r="H243" s="508" t="s">
        <v>6313</v>
      </c>
      <c r="I243" s="2" t="s">
        <v>6314</v>
      </c>
      <c r="J243" s="507" t="s">
        <v>6315</v>
      </c>
      <c r="K243" s="507" t="s">
        <v>6316</v>
      </c>
      <c r="L243" s="507" t="s">
        <v>6317</v>
      </c>
      <c r="M243" s="507" t="s">
        <v>6318</v>
      </c>
      <c r="N243" s="507" t="s">
        <v>6319</v>
      </c>
    </row>
    <row r="244" spans="1:14" ht="28.8" x14ac:dyDescent="0.3">
      <c r="A244" s="2" t="s">
        <v>6320</v>
      </c>
      <c r="B244" s="506" t="str">
        <f t="shared" si="7"/>
        <v>Veuillez sélectionner l’unité utilisée pour la superficie (c.-à-d. soit en hectares, soit en m²) :</v>
      </c>
      <c r="C244" s="2" t="s">
        <v>6321</v>
      </c>
      <c r="D244" s="501" t="s">
        <v>6322</v>
      </c>
      <c r="E244" s="501" t="s">
        <v>6323</v>
      </c>
      <c r="F244" s="501" t="s">
        <v>6324</v>
      </c>
      <c r="G244" s="508" t="s">
        <v>6325</v>
      </c>
      <c r="H244" s="508" t="s">
        <v>6326</v>
      </c>
      <c r="I244" s="2" t="s">
        <v>6327</v>
      </c>
      <c r="J244" s="507" t="s">
        <v>6328</v>
      </c>
      <c r="K244" s="507" t="s">
        <v>6329</v>
      </c>
      <c r="L244" s="507" t="s">
        <v>6330</v>
      </c>
      <c r="M244" s="507" t="s">
        <v>6331</v>
      </c>
      <c r="N244" s="507" t="s">
        <v>6332</v>
      </c>
    </row>
    <row r="245" spans="1:14" ht="28.8" x14ac:dyDescent="0.3">
      <c r="A245" s="2" t="s">
        <v>6333</v>
      </c>
      <c r="B245" s="506" t="str">
        <f t="shared" si="7"/>
        <v>ID du site associé (sélectionnez un ID parmi les sites déclarés dans B1)</v>
      </c>
      <c r="C245" s="2" t="s">
        <v>6334</v>
      </c>
      <c r="D245" s="501" t="s">
        <v>6335</v>
      </c>
      <c r="E245" s="501" t="s">
        <v>6336</v>
      </c>
      <c r="F245" s="501" t="s">
        <v>6337</v>
      </c>
      <c r="G245" s="508" t="s">
        <v>6338</v>
      </c>
      <c r="H245" s="508" t="s">
        <v>6339</v>
      </c>
      <c r="I245" s="2" t="s">
        <v>6340</v>
      </c>
      <c r="J245" s="507" t="s">
        <v>6341</v>
      </c>
      <c r="K245" s="507" t="s">
        <v>6342</v>
      </c>
      <c r="L245" s="507" t="s">
        <v>6343</v>
      </c>
      <c r="M245" s="507" t="s">
        <v>6344</v>
      </c>
      <c r="N245" s="507" t="s">
        <v>6345</v>
      </c>
    </row>
    <row r="246" spans="1:14" ht="57.6" x14ac:dyDescent="0.3">
      <c r="A246" s="2" t="s">
        <v>6346</v>
      </c>
      <c r="B246" s="506" t="str">
        <f t="shared" si="7"/>
        <v>Localisation du site à proximité d'une zone de biodiversité - rempli automatiquement à partir de B1</v>
      </c>
      <c r="C246" s="2" t="s">
        <v>6347</v>
      </c>
      <c r="D246" s="501" t="s">
        <v>6348</v>
      </c>
      <c r="E246" s="501" t="s">
        <v>6349</v>
      </c>
      <c r="F246" s="501" t="s">
        <v>6350</v>
      </c>
      <c r="G246" s="508" t="s">
        <v>6351</v>
      </c>
      <c r="H246" s="508" t="s">
        <v>6352</v>
      </c>
      <c r="I246" s="2" t="s">
        <v>6353</v>
      </c>
      <c r="J246" s="507" t="s">
        <v>6354</v>
      </c>
      <c r="K246" s="507" t="s">
        <v>6355</v>
      </c>
      <c r="L246" s="507" t="s">
        <v>6356</v>
      </c>
      <c r="M246" s="507" t="s">
        <v>6357</v>
      </c>
      <c r="N246" s="507" t="s">
        <v>6358</v>
      </c>
    </row>
    <row r="247" spans="1:14" ht="28.8" x14ac:dyDescent="0.3">
      <c r="A247" s="2" t="s">
        <v>6359</v>
      </c>
      <c r="B247" s="506" t="str">
        <f t="shared" si="7"/>
        <v>Superficie (en hectares ou en m² selon la sélection ci-dessus)</v>
      </c>
      <c r="C247" s="2" t="s">
        <v>6360</v>
      </c>
      <c r="D247" s="501" t="s">
        <v>6361</v>
      </c>
      <c r="E247" s="501" t="s">
        <v>6362</v>
      </c>
      <c r="F247" s="501" t="s">
        <v>6363</v>
      </c>
      <c r="G247" s="508" t="s">
        <v>6364</v>
      </c>
      <c r="H247" s="508" t="s">
        <v>6365</v>
      </c>
      <c r="I247" s="2" t="s">
        <v>6366</v>
      </c>
      <c r="J247" s="507" t="s">
        <v>6367</v>
      </c>
      <c r="K247" s="507" t="s">
        <v>6368</v>
      </c>
      <c r="L247" s="507" t="s">
        <v>6369</v>
      </c>
      <c r="M247" s="507" t="s">
        <v>6370</v>
      </c>
      <c r="N247" s="507" t="s">
        <v>6371</v>
      </c>
    </row>
    <row r="248" spans="1:14" ht="28.8" x14ac:dyDescent="0.3">
      <c r="A248" s="2" t="s">
        <v>6372</v>
      </c>
      <c r="B248" s="506" t="str">
        <f t="shared" si="7"/>
        <v>Site situé dans une zone sensible sur le plan de la biodiversité</v>
      </c>
      <c r="C248" s="2" t="s">
        <v>6373</v>
      </c>
      <c r="D248" s="501" t="s">
        <v>6374</v>
      </c>
      <c r="E248" s="501" t="s">
        <v>6375</v>
      </c>
      <c r="F248" s="501" t="s">
        <v>6376</v>
      </c>
      <c r="G248" s="508" t="s">
        <v>6377</v>
      </c>
      <c r="H248" s="508" t="s">
        <v>6378</v>
      </c>
      <c r="I248" s="2" t="s">
        <v>6379</v>
      </c>
      <c r="J248" s="507" t="s">
        <v>6380</v>
      </c>
      <c r="K248" s="507" t="s">
        <v>6381</v>
      </c>
      <c r="L248" s="507" t="s">
        <v>6382</v>
      </c>
      <c r="M248" s="507" t="s">
        <v>6383</v>
      </c>
      <c r="N248" s="507" t="s">
        <v>6384</v>
      </c>
    </row>
    <row r="249" spans="1:14" ht="29.4" thickBot="1" x14ac:dyDescent="0.35">
      <c r="A249" s="513" t="s">
        <v>6385</v>
      </c>
      <c r="B249" s="510" t="str">
        <f t="shared" si="7"/>
        <v>Site situé à proximité d'une zone sensible sur le plan de la biodiversité</v>
      </c>
      <c r="C249" s="513" t="s">
        <v>6386</v>
      </c>
      <c r="D249" s="509" t="s">
        <v>6387</v>
      </c>
      <c r="E249" s="509" t="s">
        <v>6388</v>
      </c>
      <c r="F249" s="509" t="s">
        <v>6389</v>
      </c>
      <c r="G249" s="512" t="s">
        <v>6390</v>
      </c>
      <c r="H249" s="512" t="s">
        <v>6391</v>
      </c>
      <c r="I249" s="513" t="s">
        <v>6392</v>
      </c>
      <c r="J249" s="511" t="s">
        <v>6393</v>
      </c>
      <c r="K249" s="511" t="s">
        <v>6394</v>
      </c>
      <c r="L249" s="511" t="s">
        <v>6395</v>
      </c>
      <c r="M249" s="511" t="s">
        <v>6396</v>
      </c>
      <c r="N249" s="511" t="s">
        <v>6397</v>
      </c>
    </row>
    <row r="250" spans="1:14" x14ac:dyDescent="0.3">
      <c r="A250" s="2" t="s">
        <v>6398</v>
      </c>
      <c r="B250" s="506" t="str">
        <f t="shared" si="7"/>
        <v>B5 - Biodiversité - Utilisation des terres</v>
      </c>
      <c r="C250" s="2" t="s">
        <v>6399</v>
      </c>
      <c r="D250" s="501" t="s">
        <v>6400</v>
      </c>
      <c r="E250" s="501" t="s">
        <v>6401</v>
      </c>
      <c r="F250" s="501" t="s">
        <v>6402</v>
      </c>
      <c r="G250" s="508" t="s">
        <v>6403</v>
      </c>
      <c r="H250" s="508" t="s">
        <v>6404</v>
      </c>
      <c r="I250" s="2" t="s">
        <v>6405</v>
      </c>
      <c r="J250" s="507" t="s">
        <v>6406</v>
      </c>
      <c r="K250" s="507" t="s">
        <v>6407</v>
      </c>
      <c r="L250" s="507" t="s">
        <v>6408</v>
      </c>
      <c r="M250" s="507" t="s">
        <v>6409</v>
      </c>
      <c r="N250" s="507" t="s">
        <v>6410</v>
      </c>
    </row>
    <row r="251" spans="1:14" x14ac:dyDescent="0.3">
      <c r="A251" s="2" t="s">
        <v>6411</v>
      </c>
      <c r="B251" s="506" t="str">
        <f t="shared" si="7"/>
        <v>Type d’affectation des terres</v>
      </c>
      <c r="C251" s="2" t="s">
        <v>6412</v>
      </c>
      <c r="D251" s="501" t="s">
        <v>6413</v>
      </c>
      <c r="E251" s="501" t="s">
        <v>6414</v>
      </c>
      <c r="F251" s="515" t="s">
        <v>6415</v>
      </c>
      <c r="G251" s="508" t="s">
        <v>6416</v>
      </c>
      <c r="H251" s="508" t="s">
        <v>6417</v>
      </c>
      <c r="I251" s="2" t="s">
        <v>6418</v>
      </c>
      <c r="J251" s="507" t="s">
        <v>6419</v>
      </c>
      <c r="K251" s="507" t="s">
        <v>6420</v>
      </c>
      <c r="L251" s="507" t="s">
        <v>6421</v>
      </c>
      <c r="M251" s="507" t="s">
        <v>6422</v>
      </c>
      <c r="N251" s="507" t="s">
        <v>6423</v>
      </c>
    </row>
    <row r="252" spans="1:14" x14ac:dyDescent="0.3">
      <c r="A252" s="2" t="s">
        <v>6424</v>
      </c>
      <c r="B252" s="506" t="str">
        <f t="shared" si="7"/>
        <v>Zone</v>
      </c>
      <c r="C252" s="2" t="s">
        <v>6425</v>
      </c>
      <c r="D252" s="501" t="s">
        <v>6426</v>
      </c>
      <c r="E252" s="501" t="s">
        <v>6427</v>
      </c>
      <c r="F252" s="507" t="s">
        <v>6428</v>
      </c>
      <c r="G252" s="508" t="s">
        <v>6429</v>
      </c>
      <c r="H252" s="508" t="s">
        <v>6430</v>
      </c>
      <c r="I252" s="2" t="s">
        <v>6431</v>
      </c>
      <c r="J252" s="507" t="s">
        <v>6432</v>
      </c>
      <c r="K252" s="507" t="s">
        <v>6433</v>
      </c>
      <c r="L252" s="507" t="s">
        <v>6434</v>
      </c>
      <c r="M252" s="507" t="s">
        <v>6435</v>
      </c>
      <c r="N252" s="507" t="s">
        <v>6434</v>
      </c>
    </row>
    <row r="253" spans="1:14" x14ac:dyDescent="0.3">
      <c r="A253" s="2" t="s">
        <v>6436</v>
      </c>
      <c r="B253" s="506" t="str">
        <f t="shared" si="7"/>
        <v>Surface totale imperméabilisée</v>
      </c>
      <c r="C253" s="2" t="s">
        <v>6437</v>
      </c>
      <c r="D253" s="501" t="s">
        <v>6438</v>
      </c>
      <c r="E253" s="501" t="s">
        <v>6439</v>
      </c>
      <c r="F253" s="501" t="s">
        <v>6440</v>
      </c>
      <c r="G253" s="508" t="s">
        <v>6441</v>
      </c>
      <c r="H253" s="508" t="s">
        <v>6442</v>
      </c>
      <c r="I253" s="2" t="s">
        <v>6443</v>
      </c>
      <c r="J253" s="507" t="s">
        <v>6444</v>
      </c>
      <c r="K253" s="507" t="s">
        <v>6445</v>
      </c>
      <c r="L253" s="507" t="s">
        <v>6446</v>
      </c>
      <c r="M253" s="507" t="s">
        <v>6447</v>
      </c>
      <c r="N253" s="507" t="s">
        <v>6448</v>
      </c>
    </row>
    <row r="254" spans="1:14" ht="28.8" x14ac:dyDescent="0.3">
      <c r="A254" s="2" t="s">
        <v>6449</v>
      </c>
      <c r="B254" s="506" t="str">
        <f t="shared" si="7"/>
        <v>Surface totale respectueuse de la nature sur le site</v>
      </c>
      <c r="C254" s="2" t="s">
        <v>6450</v>
      </c>
      <c r="D254" s="501" t="s">
        <v>6451</v>
      </c>
      <c r="E254" s="501" t="s">
        <v>6452</v>
      </c>
      <c r="F254" s="501" t="s">
        <v>6453</v>
      </c>
      <c r="G254" s="508" t="s">
        <v>6454</v>
      </c>
      <c r="H254" s="508" t="s">
        <v>6455</v>
      </c>
      <c r="I254" s="2" t="s">
        <v>6456</v>
      </c>
      <c r="J254" s="507" t="s">
        <v>6457</v>
      </c>
      <c r="K254" s="507" t="s">
        <v>6458</v>
      </c>
      <c r="L254" s="507" t="s">
        <v>6459</v>
      </c>
      <c r="M254" s="507" t="s">
        <v>6460</v>
      </c>
      <c r="N254" s="507" t="s">
        <v>6461</v>
      </c>
    </row>
    <row r="255" spans="1:14" ht="28.8" x14ac:dyDescent="0.3">
      <c r="A255" s="2" t="s">
        <v>6462</v>
      </c>
      <c r="B255" s="506" t="str">
        <f t="shared" si="7"/>
        <v>Surface totale respectueuse de la nature hors site</v>
      </c>
      <c r="C255" s="2" t="s">
        <v>6463</v>
      </c>
      <c r="D255" s="501" t="s">
        <v>6464</v>
      </c>
      <c r="E255" s="501" t="s">
        <v>6465</v>
      </c>
      <c r="F255" s="501" t="s">
        <v>6466</v>
      </c>
      <c r="G255" s="508" t="s">
        <v>6467</v>
      </c>
      <c r="H255" s="508" t="s">
        <v>6468</v>
      </c>
      <c r="I255" s="2" t="s">
        <v>6469</v>
      </c>
      <c r="J255" s="507" t="s">
        <v>6470</v>
      </c>
      <c r="K255" s="507" t="s">
        <v>6471</v>
      </c>
      <c r="L255" s="507" t="s">
        <v>6472</v>
      </c>
      <c r="M255" s="507" t="s">
        <v>6473</v>
      </c>
      <c r="N255" s="507" t="s">
        <v>6474</v>
      </c>
    </row>
    <row r="256" spans="1:14" ht="15" thickBot="1" x14ac:dyDescent="0.35">
      <c r="A256" s="513" t="s">
        <v>6475</v>
      </c>
      <c r="B256" s="510" t="str">
        <f t="shared" si="7"/>
        <v>Utilisation totale des terres</v>
      </c>
      <c r="C256" s="513" t="s">
        <v>6476</v>
      </c>
      <c r="D256" s="509" t="s">
        <v>6477</v>
      </c>
      <c r="E256" s="509" t="s">
        <v>6478</v>
      </c>
      <c r="F256" s="509" t="s">
        <v>6479</v>
      </c>
      <c r="G256" s="512" t="s">
        <v>6480</v>
      </c>
      <c r="H256" s="512" t="s">
        <v>6481</v>
      </c>
      <c r="I256" s="513" t="s">
        <v>6482</v>
      </c>
      <c r="J256" s="511" t="s">
        <v>6483</v>
      </c>
      <c r="K256" s="511" t="s">
        <v>6484</v>
      </c>
      <c r="L256" s="511" t="s">
        <v>6485</v>
      </c>
      <c r="M256" s="511" t="s">
        <v>6486</v>
      </c>
      <c r="N256" s="511" t="s">
        <v>6487</v>
      </c>
    </row>
    <row r="257" spans="1:14" x14ac:dyDescent="0.3">
      <c r="A257" s="2" t="s">
        <v>6488</v>
      </c>
      <c r="B257" s="506" t="str">
        <f t="shared" si="7"/>
        <v>B6 – Prélèvements d'eau</v>
      </c>
      <c r="C257" s="2" t="s">
        <v>6489</v>
      </c>
      <c r="D257" s="501" t="s">
        <v>6490</v>
      </c>
      <c r="E257" s="501" t="s">
        <v>6491</v>
      </c>
      <c r="F257" s="501" t="s">
        <v>6492</v>
      </c>
      <c r="G257" s="508" t="s">
        <v>6493</v>
      </c>
      <c r="H257" s="508" t="s">
        <v>6494</v>
      </c>
      <c r="I257" s="2" t="s">
        <v>6495</v>
      </c>
      <c r="J257" s="507" t="s">
        <v>6496</v>
      </c>
      <c r="K257" s="507" t="s">
        <v>6497</v>
      </c>
      <c r="L257" s="507" t="s">
        <v>6498</v>
      </c>
      <c r="M257" s="507" t="s">
        <v>6499</v>
      </c>
      <c r="N257" s="507" t="s">
        <v>6500</v>
      </c>
    </row>
    <row r="258" spans="1:14" ht="28.8" x14ac:dyDescent="0.3">
      <c r="A258" s="2" t="s">
        <v>6501</v>
      </c>
      <c r="B258" s="506" t="str">
        <f t="shared" si="7"/>
        <v>Quantité totale d'eau prélevée sur tous les sites (mètres cubes m³)</v>
      </c>
      <c r="C258" s="2" t="s">
        <v>6502</v>
      </c>
      <c r="D258" s="501" t="s">
        <v>6503</v>
      </c>
      <c r="E258" s="501" t="s">
        <v>6504</v>
      </c>
      <c r="F258" s="501" t="s">
        <v>6505</v>
      </c>
      <c r="G258" s="508" t="s">
        <v>6506</v>
      </c>
      <c r="H258" s="508" t="s">
        <v>6507</v>
      </c>
      <c r="I258" s="2" t="s">
        <v>6508</v>
      </c>
      <c r="J258" s="507" t="s">
        <v>6509</v>
      </c>
      <c r="K258" s="507" t="s">
        <v>6510</v>
      </c>
      <c r="L258" s="507" t="s">
        <v>6511</v>
      </c>
      <c r="M258" s="507" t="s">
        <v>6512</v>
      </c>
      <c r="N258" s="507" t="s">
        <v>6513</v>
      </c>
    </row>
    <row r="259" spans="1:14" ht="43.8" thickBot="1" x14ac:dyDescent="0.35">
      <c r="A259" s="513" t="s">
        <v>6514</v>
      </c>
      <c r="B259" s="510" t="str">
        <f t="shared" si="7"/>
        <v>Quantité d’eau prélevée sur les sites qui se situent dans des zones exposées à un stress hydrique élevé (mètres cubes m³)</v>
      </c>
      <c r="C259" s="513" t="s">
        <v>6515</v>
      </c>
      <c r="D259" s="509" t="s">
        <v>6516</v>
      </c>
      <c r="E259" s="509" t="s">
        <v>6517</v>
      </c>
      <c r="F259" s="509" t="s">
        <v>6518</v>
      </c>
      <c r="G259" s="512" t="s">
        <v>6519</v>
      </c>
      <c r="H259" s="512" t="s">
        <v>6520</v>
      </c>
      <c r="I259" s="513" t="s">
        <v>6521</v>
      </c>
      <c r="J259" s="511" t="s">
        <v>6522</v>
      </c>
      <c r="K259" s="511" t="s">
        <v>6523</v>
      </c>
      <c r="L259" s="511" t="s">
        <v>6524</v>
      </c>
      <c r="M259" s="511" t="s">
        <v>6525</v>
      </c>
      <c r="N259" s="511" t="s">
        <v>6526</v>
      </c>
    </row>
    <row r="260" spans="1:14" ht="28.8" x14ac:dyDescent="0.3">
      <c r="A260" s="2" t="s">
        <v>6527</v>
      </c>
      <c r="B260" s="506" t="str">
        <f t="shared" si="7"/>
        <v>B6 - Consommation d'eau</v>
      </c>
      <c r="C260" s="2" t="s">
        <v>6528</v>
      </c>
      <c r="D260" s="501" t="s">
        <v>6529</v>
      </c>
      <c r="E260" s="501" t="s">
        <v>6530</v>
      </c>
      <c r="F260" s="501" t="s">
        <v>6531</v>
      </c>
      <c r="G260" s="508" t="s">
        <v>6532</v>
      </c>
      <c r="H260" s="508" t="s">
        <v>6533</v>
      </c>
      <c r="I260" s="2" t="s">
        <v>6534</v>
      </c>
      <c r="J260" s="507" t="s">
        <v>6535</v>
      </c>
      <c r="K260" s="507" t="s">
        <v>6536</v>
      </c>
      <c r="L260" s="507" t="s">
        <v>6537</v>
      </c>
      <c r="M260" s="507" t="s">
        <v>6538</v>
      </c>
      <c r="N260" s="507" t="s">
        <v>6539</v>
      </c>
    </row>
    <row r="261" spans="1:14" ht="86.4" x14ac:dyDescent="0.3">
      <c r="A261" s="2" t="s">
        <v>6540</v>
      </c>
      <c r="B261" s="506" t="str">
        <f t="shared" si="7"/>
        <v>L'entreprise a-t-elle mis en place des processus de production qui consomment beaucoup d’eau (par ex. des procédés d’énergie thermique tels que le séchage ou la production d’électricité, la production de biens, l’irrigation agricole, etc.) ?</v>
      </c>
      <c r="C261" s="2" t="s">
        <v>6541</v>
      </c>
      <c r="D261" s="501" t="s">
        <v>6542</v>
      </c>
      <c r="E261" s="501" t="s">
        <v>6543</v>
      </c>
      <c r="F261" s="501" t="s">
        <v>6544</v>
      </c>
      <c r="G261" s="508" t="s">
        <v>6545</v>
      </c>
      <c r="H261" s="508" t="s">
        <v>6546</v>
      </c>
      <c r="I261" s="2" t="s">
        <v>6547</v>
      </c>
      <c r="J261" s="507" t="s">
        <v>6548</v>
      </c>
      <c r="K261" s="507" t="s">
        <v>6549</v>
      </c>
      <c r="L261" s="507" t="s">
        <v>6550</v>
      </c>
      <c r="M261" s="507" t="s">
        <v>6551</v>
      </c>
      <c r="N261" s="507" t="s">
        <v>6552</v>
      </c>
    </row>
    <row r="262" spans="1:14" ht="28.8" x14ac:dyDescent="0.3">
      <c r="A262" s="2" t="s">
        <v>6553</v>
      </c>
      <c r="B262" s="506" t="str">
        <f t="shared" si="7"/>
        <v>Rejet d’eau provenant des processus de production de l’entreprise (m³)</v>
      </c>
      <c r="C262" s="2" t="s">
        <v>6554</v>
      </c>
      <c r="D262" s="501" t="s">
        <v>6555</v>
      </c>
      <c r="E262" s="501" t="s">
        <v>6556</v>
      </c>
      <c r="F262" s="501" t="s">
        <v>6557</v>
      </c>
      <c r="G262" s="508" t="s">
        <v>6558</v>
      </c>
      <c r="H262" s="508" t="s">
        <v>6559</v>
      </c>
      <c r="I262" s="2" t="s">
        <v>6560</v>
      </c>
      <c r="J262" s="507" t="s">
        <v>6561</v>
      </c>
      <c r="K262" s="507" t="s">
        <v>6562</v>
      </c>
      <c r="L262" s="507" t="s">
        <v>6563</v>
      </c>
      <c r="M262" s="507" t="s">
        <v>6564</v>
      </c>
      <c r="N262" s="507" t="s">
        <v>6565</v>
      </c>
    </row>
    <row r="263" spans="1:14" ht="15" thickBot="1" x14ac:dyDescent="0.35">
      <c r="A263" s="513" t="s">
        <v>6566</v>
      </c>
      <c r="B263" s="510" t="str">
        <f t="shared" si="7"/>
        <v>Consommation totale d’eau (m³)</v>
      </c>
      <c r="C263" s="513" t="s">
        <v>6567</v>
      </c>
      <c r="D263" s="509" t="s">
        <v>6568</v>
      </c>
      <c r="E263" s="509" t="s">
        <v>6569</v>
      </c>
      <c r="F263" s="509" t="s">
        <v>6570</v>
      </c>
      <c r="G263" s="512" t="s">
        <v>6571</v>
      </c>
      <c r="H263" s="512" t="s">
        <v>6572</v>
      </c>
      <c r="I263" s="513" t="s">
        <v>6573</v>
      </c>
      <c r="J263" s="511" t="s">
        <v>6574</v>
      </c>
      <c r="K263" s="511" t="s">
        <v>6575</v>
      </c>
      <c r="L263" s="511" t="s">
        <v>6576</v>
      </c>
      <c r="M263" s="511" t="s">
        <v>6577</v>
      </c>
      <c r="N263" s="511" t="s">
        <v>6578</v>
      </c>
    </row>
    <row r="264" spans="1:14" ht="28.8" x14ac:dyDescent="0.3">
      <c r="A264" s="2" t="s">
        <v>6579</v>
      </c>
      <c r="B264" s="506" t="str">
        <f t="shared" si="7"/>
        <v>B7 – Description des principes de l’économie circulaire</v>
      </c>
      <c r="C264" s="2" t="s">
        <v>6580</v>
      </c>
      <c r="D264" s="501" t="s">
        <v>6581</v>
      </c>
      <c r="E264" s="501" t="s">
        <v>6582</v>
      </c>
      <c r="F264" s="501" t="s">
        <v>6583</v>
      </c>
      <c r="G264" s="508" t="s">
        <v>6584</v>
      </c>
      <c r="H264" s="508" t="s">
        <v>6585</v>
      </c>
      <c r="I264" s="2" t="s">
        <v>6586</v>
      </c>
      <c r="J264" s="507" t="s">
        <v>6587</v>
      </c>
      <c r="K264" s="507" t="s">
        <v>6588</v>
      </c>
      <c r="L264" s="507" t="s">
        <v>6589</v>
      </c>
      <c r="M264" s="507" t="s">
        <v>6590</v>
      </c>
      <c r="N264" s="507" t="s">
        <v>6591</v>
      </c>
    </row>
    <row r="265" spans="1:14" ht="28.8" x14ac:dyDescent="0.3">
      <c r="A265" s="2" t="s">
        <v>6592</v>
      </c>
      <c r="B265" s="506" t="str">
        <f t="shared" si="7"/>
        <v>L’entreprise applique les principes de l’économie circulaire</v>
      </c>
      <c r="C265" s="2" t="s">
        <v>6593</v>
      </c>
      <c r="D265" s="501" t="s">
        <v>6594</v>
      </c>
      <c r="E265" s="501" t="s">
        <v>6595</v>
      </c>
      <c r="F265" s="501" t="s">
        <v>6596</v>
      </c>
      <c r="G265" s="508" t="s">
        <v>6597</v>
      </c>
      <c r="H265" s="508" t="s">
        <v>6598</v>
      </c>
      <c r="I265" s="2" t="s">
        <v>6599</v>
      </c>
      <c r="J265" s="507" t="s">
        <v>6600</v>
      </c>
      <c r="K265" s="507" t="s">
        <v>6601</v>
      </c>
      <c r="L265" s="507" t="s">
        <v>6602</v>
      </c>
      <c r="M265" s="507" t="s">
        <v>6603</v>
      </c>
      <c r="N265" s="507" t="s">
        <v>6604</v>
      </c>
    </row>
    <row r="266" spans="1:14" ht="43.8" thickBot="1" x14ac:dyDescent="0.35">
      <c r="A266" s="513" t="s">
        <v>6605</v>
      </c>
      <c r="B266" s="510" t="str">
        <f t="shared" si="7"/>
        <v>Description de la manière dont elle applique ces principes</v>
      </c>
      <c r="C266" s="513" t="s">
        <v>6606</v>
      </c>
      <c r="D266" s="509" t="s">
        <v>6607</v>
      </c>
      <c r="E266" s="509" t="s">
        <v>6608</v>
      </c>
      <c r="F266" s="509" t="s">
        <v>6609</v>
      </c>
      <c r="G266" s="512" t="s">
        <v>6610</v>
      </c>
      <c r="H266" s="512" t="s">
        <v>6611</v>
      </c>
      <c r="I266" s="513" t="s">
        <v>6612</v>
      </c>
      <c r="J266" s="511" t="s">
        <v>6613</v>
      </c>
      <c r="K266" s="511" t="s">
        <v>6614</v>
      </c>
      <c r="L266" s="511" t="s">
        <v>6615</v>
      </c>
      <c r="M266" s="511" t="s">
        <v>6616</v>
      </c>
      <c r="N266" s="511" t="s">
        <v>6617</v>
      </c>
    </row>
    <row r="267" spans="1:14" ht="28.8" x14ac:dyDescent="0.3">
      <c r="A267" s="2" t="s">
        <v>6618</v>
      </c>
      <c r="B267" s="506" t="str">
        <f t="shared" si="7"/>
        <v>B7 - Déchets produits</v>
      </c>
      <c r="C267" s="2" t="s">
        <v>6619</v>
      </c>
      <c r="D267" s="501" t="s">
        <v>6620</v>
      </c>
      <c r="E267" s="501" t="s">
        <v>6621</v>
      </c>
      <c r="F267" s="501" t="s">
        <v>6622</v>
      </c>
      <c r="G267" s="508" t="s">
        <v>6623</v>
      </c>
      <c r="H267" s="508" t="s">
        <v>6624</v>
      </c>
      <c r="I267" s="2" t="s">
        <v>6625</v>
      </c>
      <c r="J267" s="507" t="s">
        <v>6626</v>
      </c>
      <c r="K267" s="507" t="s">
        <v>6627</v>
      </c>
      <c r="L267" s="507" t="s">
        <v>6628</v>
      </c>
      <c r="M267" s="507" t="s">
        <v>6629</v>
      </c>
      <c r="N267" s="507" t="s">
        <v>6630</v>
      </c>
    </row>
    <row r="268" spans="1:14" x14ac:dyDescent="0.3">
      <c r="A268" s="2" t="s">
        <v>6631</v>
      </c>
      <c r="B268" s="506" t="str">
        <f t="shared" si="7"/>
        <v>Type de déchets</v>
      </c>
      <c r="C268" s="2" t="s">
        <v>6632</v>
      </c>
      <c r="D268" s="501" t="s">
        <v>6633</v>
      </c>
      <c r="E268" s="501" t="s">
        <v>6634</v>
      </c>
      <c r="F268" s="501" t="s">
        <v>6635</v>
      </c>
      <c r="G268" s="508" t="s">
        <v>6636</v>
      </c>
      <c r="H268" s="508" t="s">
        <v>6637</v>
      </c>
      <c r="I268" s="2" t="s">
        <v>6638</v>
      </c>
      <c r="J268" s="507" t="s">
        <v>6639</v>
      </c>
      <c r="K268" s="507" t="s">
        <v>6640</v>
      </c>
      <c r="L268" s="507" t="s">
        <v>6641</v>
      </c>
      <c r="M268" s="507" t="s">
        <v>6642</v>
      </c>
      <c r="N268" s="507" t="s">
        <v>6643</v>
      </c>
    </row>
    <row r="269" spans="1:14" x14ac:dyDescent="0.3">
      <c r="A269" s="2" t="s">
        <v>6644</v>
      </c>
      <c r="B269" s="506" t="str">
        <f t="shared" si="7"/>
        <v>Unité de mesure</v>
      </c>
      <c r="C269" s="2" t="s">
        <v>93</v>
      </c>
      <c r="D269" s="501" t="s">
        <v>6645</v>
      </c>
      <c r="E269" s="501" t="s">
        <v>6646</v>
      </c>
      <c r="F269" s="501" t="s">
        <v>6647</v>
      </c>
      <c r="G269" s="508" t="s">
        <v>6648</v>
      </c>
      <c r="H269" s="508" t="s">
        <v>6649</v>
      </c>
      <c r="I269" s="2" t="s">
        <v>6650</v>
      </c>
      <c r="J269" s="507" t="s">
        <v>6651</v>
      </c>
      <c r="K269" s="507" t="s">
        <v>6652</v>
      </c>
      <c r="L269" s="507" t="s">
        <v>6653</v>
      </c>
      <c r="M269" s="507" t="s">
        <v>6654</v>
      </c>
      <c r="N269" s="507" t="s">
        <v>6655</v>
      </c>
    </row>
    <row r="270" spans="1:14" ht="28.8" x14ac:dyDescent="0.3">
      <c r="A270" s="2" t="s">
        <v>6656</v>
      </c>
      <c r="B270" s="506" t="str">
        <f t="shared" si="7"/>
        <v>Déchets destinés à être recyclés ou réutilisés</v>
      </c>
      <c r="C270" s="2" t="s">
        <v>6657</v>
      </c>
      <c r="D270" s="501" t="s">
        <v>6658</v>
      </c>
      <c r="E270" s="501" t="s">
        <v>6659</v>
      </c>
      <c r="F270" s="501" t="s">
        <v>6660</v>
      </c>
      <c r="G270" s="508" t="s">
        <v>6661</v>
      </c>
      <c r="H270" s="508" t="s">
        <v>6662</v>
      </c>
      <c r="I270" s="2" t="s">
        <v>6663</v>
      </c>
      <c r="J270" s="507" t="s">
        <v>6664</v>
      </c>
      <c r="K270" s="507" t="s">
        <v>6665</v>
      </c>
      <c r="L270" s="507" t="s">
        <v>6666</v>
      </c>
      <c r="M270" s="507" t="s">
        <v>6667</v>
      </c>
      <c r="N270" s="507" t="s">
        <v>6668</v>
      </c>
    </row>
    <row r="271" spans="1:14" x14ac:dyDescent="0.3">
      <c r="A271" s="2" t="s">
        <v>6669</v>
      </c>
      <c r="B271" s="506" t="str">
        <f t="shared" si="7"/>
        <v>Déchets destinés à être éliminés</v>
      </c>
      <c r="C271" s="2" t="s">
        <v>6670</v>
      </c>
      <c r="D271" s="501" t="s">
        <v>6671</v>
      </c>
      <c r="E271" s="501" t="s">
        <v>6672</v>
      </c>
      <c r="F271" s="501" t="s">
        <v>6673</v>
      </c>
      <c r="G271" s="508" t="s">
        <v>6674</v>
      </c>
      <c r="H271" s="508" t="s">
        <v>6675</v>
      </c>
      <c r="I271" s="2" t="s">
        <v>6676</v>
      </c>
      <c r="J271" s="507" t="s">
        <v>6677</v>
      </c>
      <c r="K271" s="507" t="s">
        <v>6678</v>
      </c>
      <c r="L271" s="507" t="s">
        <v>6679</v>
      </c>
      <c r="M271" s="507" t="s">
        <v>6680</v>
      </c>
      <c r="N271" s="507" t="s">
        <v>6681</v>
      </c>
    </row>
    <row r="272" spans="1:14" ht="28.8" x14ac:dyDescent="0.3">
      <c r="A272" s="2" t="s">
        <v>6682</v>
      </c>
      <c r="B272" s="506" t="str">
        <f t="shared" si="7"/>
        <v>Quantité de déchets recyclés, réutilisés et destinés à être éliminés</v>
      </c>
      <c r="C272" s="2" t="s">
        <v>6683</v>
      </c>
      <c r="D272" s="501" t="s">
        <v>6684</v>
      </c>
      <c r="E272" s="501" t="s">
        <v>6685</v>
      </c>
      <c r="F272" s="501" t="s">
        <v>6686</v>
      </c>
      <c r="G272" s="508" t="s">
        <v>6687</v>
      </c>
      <c r="H272" s="508" t="s">
        <v>6688</v>
      </c>
      <c r="I272" s="2" t="s">
        <v>6689</v>
      </c>
      <c r="J272" s="507" t="s">
        <v>6690</v>
      </c>
      <c r="K272" s="507" t="s">
        <v>6691</v>
      </c>
      <c r="L272" s="507" t="s">
        <v>6692</v>
      </c>
      <c r="M272" s="507" t="s">
        <v>6693</v>
      </c>
      <c r="N272" s="507" t="s">
        <v>6694</v>
      </c>
    </row>
    <row r="273" spans="1:14" ht="28.8" x14ac:dyDescent="0.3">
      <c r="A273" s="2" t="s">
        <v>6695</v>
      </c>
      <c r="B273" s="506" t="str">
        <f t="shared" si="7"/>
        <v>Total des déchets dangereux produits (en masse)</v>
      </c>
      <c r="C273" s="2" t="s">
        <v>6696</v>
      </c>
      <c r="D273" s="501" t="s">
        <v>6697</v>
      </c>
      <c r="E273" s="501" t="s">
        <v>6698</v>
      </c>
      <c r="F273" s="501" t="s">
        <v>6699</v>
      </c>
      <c r="G273" s="508" t="s">
        <v>6700</v>
      </c>
      <c r="H273" s="508" t="s">
        <v>6701</v>
      </c>
      <c r="I273" s="2" t="s">
        <v>6702</v>
      </c>
      <c r="J273" s="507" t="s">
        <v>6703</v>
      </c>
      <c r="K273" s="507" t="s">
        <v>6704</v>
      </c>
      <c r="L273" s="507" t="s">
        <v>6705</v>
      </c>
      <c r="M273" s="507" t="s">
        <v>6706</v>
      </c>
      <c r="N273" s="507" t="s">
        <v>6707</v>
      </c>
    </row>
    <row r="274" spans="1:14" x14ac:dyDescent="0.3">
      <c r="A274" s="2" t="s">
        <v>6708</v>
      </c>
      <c r="B274" s="506" t="str">
        <f t="shared" si="7"/>
        <v>Quantité totale de déchets produits</v>
      </c>
      <c r="C274" s="2" t="s">
        <v>6709</v>
      </c>
      <c r="D274" s="501" t="s">
        <v>6710</v>
      </c>
      <c r="E274" s="501" t="s">
        <v>6711</v>
      </c>
      <c r="F274" s="501" t="s">
        <v>6712</v>
      </c>
      <c r="G274" s="508" t="s">
        <v>6713</v>
      </c>
      <c r="H274" s="508" t="s">
        <v>6714</v>
      </c>
      <c r="I274" s="2" t="s">
        <v>6715</v>
      </c>
      <c r="J274" s="507" t="s">
        <v>6716</v>
      </c>
      <c r="K274" s="507" t="s">
        <v>6717</v>
      </c>
      <c r="L274" s="507" t="s">
        <v>6718</v>
      </c>
      <c r="M274" s="507" t="s">
        <v>6719</v>
      </c>
      <c r="N274" s="507" t="s">
        <v>6720</v>
      </c>
    </row>
    <row r="275" spans="1:14" ht="28.8" x14ac:dyDescent="0.3">
      <c r="A275" s="2" t="s">
        <v>6721</v>
      </c>
      <c r="B275" s="506" t="str">
        <f t="shared" si="7"/>
        <v>Total des déchets non dangereux produits (en masse)</v>
      </c>
      <c r="C275" s="2" t="s">
        <v>6722</v>
      </c>
      <c r="D275" s="501" t="s">
        <v>6723</v>
      </c>
      <c r="E275" s="501" t="s">
        <v>6724</v>
      </c>
      <c r="F275" s="501" t="s">
        <v>6725</v>
      </c>
      <c r="G275" s="508" t="s">
        <v>6726</v>
      </c>
      <c r="H275" s="508" t="s">
        <v>6727</v>
      </c>
      <c r="I275" s="2" t="s">
        <v>6728</v>
      </c>
      <c r="J275" s="507" t="s">
        <v>6729</v>
      </c>
      <c r="K275" s="507" t="s">
        <v>6730</v>
      </c>
      <c r="L275" s="507" t="s">
        <v>6731</v>
      </c>
      <c r="M275" s="507" t="s">
        <v>6732</v>
      </c>
      <c r="N275" s="507" t="s">
        <v>6733</v>
      </c>
    </row>
    <row r="276" spans="1:14" x14ac:dyDescent="0.3">
      <c r="A276" s="2" t="s">
        <v>6734</v>
      </c>
      <c r="B276" s="506" t="str">
        <f t="shared" si="7"/>
        <v>Total des déchets produits (en masse)</v>
      </c>
      <c r="C276" s="2" t="s">
        <v>6735</v>
      </c>
      <c r="D276" s="501" t="s">
        <v>6736</v>
      </c>
      <c r="E276" s="501" t="s">
        <v>6737</v>
      </c>
      <c r="F276" s="501" t="s">
        <v>6738</v>
      </c>
      <c r="G276" s="508" t="s">
        <v>6739</v>
      </c>
      <c r="H276" s="508" t="s">
        <v>6740</v>
      </c>
      <c r="I276" s="2" t="s">
        <v>6741</v>
      </c>
      <c r="J276" s="507" t="s">
        <v>6742</v>
      </c>
      <c r="K276" s="507" t="s">
        <v>6743</v>
      </c>
      <c r="L276" s="507" t="s">
        <v>6744</v>
      </c>
      <c r="M276" s="507" t="s">
        <v>6745</v>
      </c>
      <c r="N276" s="507" t="s">
        <v>6746</v>
      </c>
    </row>
    <row r="277" spans="1:14" ht="28.8" x14ac:dyDescent="0.3">
      <c r="A277" s="2" t="s">
        <v>6747</v>
      </c>
      <c r="B277" s="506" t="str">
        <f t="shared" si="7"/>
        <v>Total des déchets dangereux produits (en volume)</v>
      </c>
      <c r="C277" s="2" t="s">
        <v>6748</v>
      </c>
      <c r="D277" s="501" t="s">
        <v>6749</v>
      </c>
      <c r="E277" s="501" t="s">
        <v>6750</v>
      </c>
      <c r="F277" s="501" t="s">
        <v>6751</v>
      </c>
      <c r="G277" s="508" t="s">
        <v>6752</v>
      </c>
      <c r="H277" s="508" t="s">
        <v>6753</v>
      </c>
      <c r="I277" s="2" t="s">
        <v>6754</v>
      </c>
      <c r="J277" s="507" t="s">
        <v>6755</v>
      </c>
      <c r="K277" s="507" t="s">
        <v>6756</v>
      </c>
      <c r="L277" s="507" t="s">
        <v>6757</v>
      </c>
      <c r="M277" s="507" t="s">
        <v>6758</v>
      </c>
      <c r="N277" s="507" t="s">
        <v>6759</v>
      </c>
    </row>
    <row r="278" spans="1:14" x14ac:dyDescent="0.3">
      <c r="A278" s="2" t="s">
        <v>6760</v>
      </c>
      <c r="B278" s="506" t="str">
        <f t="shared" si="7"/>
        <v>mètres cubes (m³)</v>
      </c>
      <c r="C278" s="2" t="s">
        <v>6761</v>
      </c>
      <c r="D278" s="501" t="s">
        <v>6762</v>
      </c>
      <c r="E278" s="501" t="s">
        <v>6763</v>
      </c>
      <c r="F278" s="501" t="s">
        <v>6764</v>
      </c>
      <c r="G278" s="508" t="s">
        <v>6765</v>
      </c>
      <c r="H278" s="508" t="s">
        <v>6766</v>
      </c>
      <c r="I278" s="2" t="s">
        <v>6767</v>
      </c>
      <c r="J278" s="507" t="s">
        <v>6768</v>
      </c>
      <c r="K278" s="507" t="s">
        <v>6769</v>
      </c>
      <c r="L278" s="507" t="s">
        <v>6770</v>
      </c>
      <c r="M278" s="507" t="s">
        <v>6771</v>
      </c>
      <c r="N278" s="507" t="s">
        <v>6770</v>
      </c>
    </row>
    <row r="279" spans="1:14" ht="28.8" x14ac:dyDescent="0.3">
      <c r="A279" s="2" t="s">
        <v>6772</v>
      </c>
      <c r="B279" s="506" t="str">
        <f t="shared" si="7"/>
        <v>Total des déchets non dangereux produits (en volume)</v>
      </c>
      <c r="C279" s="2" t="s">
        <v>6773</v>
      </c>
      <c r="D279" s="501" t="s">
        <v>6774</v>
      </c>
      <c r="E279" s="501" t="s">
        <v>6775</v>
      </c>
      <c r="F279" s="501" t="s">
        <v>6776</v>
      </c>
      <c r="G279" s="508" t="s">
        <v>6777</v>
      </c>
      <c r="H279" s="508" t="s">
        <v>6778</v>
      </c>
      <c r="I279" s="2" t="s">
        <v>6779</v>
      </c>
      <c r="J279" s="507" t="s">
        <v>6780</v>
      </c>
      <c r="K279" s="507" t="s">
        <v>6781</v>
      </c>
      <c r="L279" s="507" t="s">
        <v>6782</v>
      </c>
      <c r="M279" s="507" t="s">
        <v>6783</v>
      </c>
      <c r="N279" s="507" t="s">
        <v>6784</v>
      </c>
    </row>
    <row r="280" spans="1:14" ht="15" thickBot="1" x14ac:dyDescent="0.35">
      <c r="A280" s="513" t="s">
        <v>6785</v>
      </c>
      <c r="B280" s="510" t="str">
        <f t="shared" si="7"/>
        <v>Total des déchets produits (en volume)</v>
      </c>
      <c r="C280" s="513" t="s">
        <v>6786</v>
      </c>
      <c r="D280" s="509" t="s">
        <v>6787</v>
      </c>
      <c r="E280" s="509" t="s">
        <v>6788</v>
      </c>
      <c r="F280" s="509" t="s">
        <v>6789</v>
      </c>
      <c r="G280" s="512" t="s">
        <v>6790</v>
      </c>
      <c r="H280" s="512" t="s">
        <v>6791</v>
      </c>
      <c r="I280" s="513" t="s">
        <v>6792</v>
      </c>
      <c r="J280" s="511" t="s">
        <v>6793</v>
      </c>
      <c r="K280" s="511" t="s">
        <v>6794</v>
      </c>
      <c r="L280" s="511" t="s">
        <v>6795</v>
      </c>
      <c r="M280" s="511" t="s">
        <v>6796</v>
      </c>
      <c r="N280" s="511" t="s">
        <v>6797</v>
      </c>
    </row>
    <row r="281" spans="1:14" ht="28.8" x14ac:dyDescent="0.3">
      <c r="A281" s="2" t="s">
        <v>6798</v>
      </c>
      <c r="B281" s="506" t="str">
        <f t="shared" si="7"/>
        <v>B7 – Flux massique annuel des matières pertinentes utilisées</v>
      </c>
      <c r="C281" s="2" t="s">
        <v>6799</v>
      </c>
      <c r="D281" s="501" t="s">
        <v>6800</v>
      </c>
      <c r="E281" s="501" t="s">
        <v>6801</v>
      </c>
      <c r="F281" s="501" t="s">
        <v>6802</v>
      </c>
      <c r="G281" s="508" t="s">
        <v>6803</v>
      </c>
      <c r="H281" s="508" t="s">
        <v>6804</v>
      </c>
      <c r="I281" s="2" t="s">
        <v>6805</v>
      </c>
      <c r="J281" s="507" t="s">
        <v>6806</v>
      </c>
      <c r="K281" s="507" t="s">
        <v>6807</v>
      </c>
      <c r="L281" s="507" t="s">
        <v>6808</v>
      </c>
      <c r="M281" s="507" t="s">
        <v>6809</v>
      </c>
      <c r="N281" s="507" t="s">
        <v>6810</v>
      </c>
    </row>
    <row r="282" spans="1:14" ht="13.95" customHeight="1" x14ac:dyDescent="0.3">
      <c r="A282" s="2" t="s">
        <v>6811</v>
      </c>
      <c r="B282" s="506" t="str">
        <f t="shared" si="7"/>
        <v>L’entreprise opère-t-elle dans un secteur qui utilise des flux de matières importants (par ex. fabrication, construction, emballage ou autres) ?</v>
      </c>
      <c r="C282" s="2" t="s">
        <v>6812</v>
      </c>
      <c r="D282" s="501" t="s">
        <v>6813</v>
      </c>
      <c r="E282" s="501" t="s">
        <v>6814</v>
      </c>
      <c r="F282" s="501" t="s">
        <v>6815</v>
      </c>
      <c r="G282" s="508" t="s">
        <v>6816</v>
      </c>
      <c r="H282" s="508" t="s">
        <v>6817</v>
      </c>
      <c r="I282" s="2" t="s">
        <v>6818</v>
      </c>
      <c r="J282" s="507" t="s">
        <v>6819</v>
      </c>
      <c r="K282" s="507" t="s">
        <v>6820</v>
      </c>
      <c r="L282" s="507" t="s">
        <v>6821</v>
      </c>
      <c r="M282" s="507" t="s">
        <v>6822</v>
      </c>
      <c r="N282" s="507" t="s">
        <v>6823</v>
      </c>
    </row>
    <row r="283" spans="1:14" x14ac:dyDescent="0.3">
      <c r="A283" s="2" t="s">
        <v>6824</v>
      </c>
      <c r="B283" s="506" t="str">
        <f t="shared" si="7"/>
        <v xml:space="preserve">  Nom de la matières clé </v>
      </c>
      <c r="C283" s="2" t="s">
        <v>6825</v>
      </c>
      <c r="D283" s="501" t="s">
        <v>6826</v>
      </c>
      <c r="E283" s="501" t="s">
        <v>6827</v>
      </c>
      <c r="F283" s="501" t="s">
        <v>6828</v>
      </c>
      <c r="G283" s="508" t="s">
        <v>6829</v>
      </c>
      <c r="H283" s="508" t="s">
        <v>6830</v>
      </c>
      <c r="I283" s="2" t="s">
        <v>6831</v>
      </c>
      <c r="J283" s="507" t="s">
        <v>6832</v>
      </c>
      <c r="K283" s="507" t="s">
        <v>6833</v>
      </c>
      <c r="L283" s="507" t="s">
        <v>6834</v>
      </c>
      <c r="M283" s="507" t="s">
        <v>6835</v>
      </c>
      <c r="N283" s="507" t="s">
        <v>6836</v>
      </c>
    </row>
    <row r="284" spans="1:14" x14ac:dyDescent="0.3">
      <c r="A284" s="2" t="s">
        <v>6837</v>
      </c>
      <c r="B284" s="506" t="str">
        <f t="shared" si="7"/>
        <v>Masse / Volume</v>
      </c>
      <c r="C284" s="2" t="s">
        <v>6838</v>
      </c>
      <c r="D284" s="501" t="s">
        <v>6839</v>
      </c>
      <c r="E284" s="501" t="s">
        <v>6840</v>
      </c>
      <c r="F284" s="501" t="s">
        <v>6841</v>
      </c>
      <c r="G284" s="508" t="s">
        <v>6842</v>
      </c>
      <c r="H284" s="508" t="s">
        <v>6843</v>
      </c>
      <c r="I284" s="2" t="s">
        <v>6844</v>
      </c>
      <c r="J284" s="507" t="s">
        <v>6845</v>
      </c>
      <c r="K284" s="507" t="s">
        <v>6846</v>
      </c>
      <c r="L284" s="507" t="s">
        <v>6844</v>
      </c>
      <c r="M284" s="507" t="s">
        <v>6847</v>
      </c>
      <c r="N284" s="507" t="s">
        <v>6848</v>
      </c>
    </row>
    <row r="285" spans="1:14" ht="28.8" x14ac:dyDescent="0.3">
      <c r="A285" s="2" t="s">
        <v>6849</v>
      </c>
      <c r="B285" s="506" t="str">
        <f t="shared" si="7"/>
        <v>Total du flux massique annuel des matières pertinentes utilisées (masse en kg)</v>
      </c>
      <c r="C285" s="2" t="s">
        <v>6850</v>
      </c>
      <c r="D285" s="501" t="s">
        <v>6851</v>
      </c>
      <c r="E285" s="501" t="s">
        <v>6852</v>
      </c>
      <c r="F285" s="501" t="s">
        <v>6853</v>
      </c>
      <c r="G285" s="508" t="s">
        <v>6854</v>
      </c>
      <c r="H285" s="508" t="s">
        <v>6855</v>
      </c>
      <c r="I285" s="2" t="s">
        <v>6856</v>
      </c>
      <c r="J285" s="507" t="s">
        <v>6857</v>
      </c>
      <c r="K285" s="507" t="s">
        <v>6858</v>
      </c>
      <c r="L285" s="507" t="s">
        <v>6859</v>
      </c>
      <c r="M285" s="507" t="s">
        <v>6860</v>
      </c>
      <c r="N285" s="507" t="s">
        <v>6861</v>
      </c>
    </row>
    <row r="286" spans="1:14" x14ac:dyDescent="0.3">
      <c r="A286" s="2" t="s">
        <v>6862</v>
      </c>
      <c r="B286" s="506" t="str">
        <f t="shared" si="7"/>
        <v>kilogrammes (kg)</v>
      </c>
      <c r="C286" s="2" t="s">
        <v>324</v>
      </c>
      <c r="D286" s="501" t="s">
        <v>6863</v>
      </c>
      <c r="E286" s="501" t="s">
        <v>6864</v>
      </c>
      <c r="F286" s="501" t="s">
        <v>6865</v>
      </c>
      <c r="G286" s="508" t="s">
        <v>6866</v>
      </c>
      <c r="H286" s="508" t="s">
        <v>6867</v>
      </c>
      <c r="I286" s="2" t="s">
        <v>6868</v>
      </c>
      <c r="J286" s="507" t="s">
        <v>6869</v>
      </c>
      <c r="K286" s="507" t="s">
        <v>6870</v>
      </c>
      <c r="L286" s="507" t="s">
        <v>6871</v>
      </c>
      <c r="M286" s="507" t="s">
        <v>6872</v>
      </c>
      <c r="N286" s="507" t="s">
        <v>6873</v>
      </c>
    </row>
    <row r="287" spans="1:14" ht="29.4" thickBot="1" x14ac:dyDescent="0.35">
      <c r="A287" s="513" t="s">
        <v>6874</v>
      </c>
      <c r="B287" s="510" t="str">
        <f t="shared" si="7"/>
        <v>Total du flux massique annuel des matières pertinentes utilisées (volume en m³)</v>
      </c>
      <c r="C287" s="513" t="s">
        <v>6875</v>
      </c>
      <c r="D287" s="509" t="s">
        <v>6876</v>
      </c>
      <c r="E287" s="509" t="s">
        <v>6877</v>
      </c>
      <c r="F287" s="509" t="s">
        <v>6878</v>
      </c>
      <c r="G287" s="512" t="s">
        <v>6879</v>
      </c>
      <c r="H287" s="512" t="s">
        <v>6880</v>
      </c>
      <c r="I287" s="513" t="s">
        <v>6881</v>
      </c>
      <c r="J287" s="511" t="s">
        <v>6882</v>
      </c>
      <c r="K287" s="511" t="s">
        <v>6883</v>
      </c>
      <c r="L287" s="511" t="s">
        <v>6884</v>
      </c>
      <c r="M287" s="511" t="s">
        <v>6885</v>
      </c>
      <c r="N287" s="511" t="s">
        <v>6886</v>
      </c>
    </row>
    <row r="288" spans="1:14" x14ac:dyDescent="0.3">
      <c r="A288" s="2" t="s">
        <v>6887</v>
      </c>
      <c r="B288" s="506" t="str">
        <f t="shared" si="7"/>
        <v>C4 – Risques climatiques</v>
      </c>
      <c r="C288" s="2" t="s">
        <v>4319</v>
      </c>
      <c r="D288" s="501" t="s">
        <v>6888</v>
      </c>
      <c r="E288" s="501" t="s">
        <v>6889</v>
      </c>
      <c r="F288" s="501" t="s">
        <v>4322</v>
      </c>
      <c r="G288" s="508" t="s">
        <v>6890</v>
      </c>
      <c r="H288" s="508" t="s">
        <v>6891</v>
      </c>
      <c r="I288" s="2" t="s">
        <v>6892</v>
      </c>
      <c r="J288" s="507" t="s">
        <v>6893</v>
      </c>
      <c r="K288" s="507" t="s">
        <v>6894</v>
      </c>
      <c r="L288" s="507" t="s">
        <v>4328</v>
      </c>
      <c r="M288" s="507" t="s">
        <v>4329</v>
      </c>
      <c r="N288" s="507" t="s">
        <v>6895</v>
      </c>
    </row>
    <row r="289" spans="1:14" ht="72" x14ac:dyDescent="0.3">
      <c r="A289" s="2" t="s">
        <v>6896</v>
      </c>
      <c r="B289" s="506" t="str">
        <f t="shared" si="7"/>
        <v>L’entreprise a-t-elle recensé des aléas liés au changement climatique et des événements liés à la transition climatique créant des risques bruts liés au changement climatique pour l’entreprise ?</v>
      </c>
      <c r="C289" s="2" t="s">
        <v>6897</v>
      </c>
      <c r="D289" s="501" t="s">
        <v>6898</v>
      </c>
      <c r="E289" s="501" t="s">
        <v>6899</v>
      </c>
      <c r="F289" s="501" t="s">
        <v>6900</v>
      </c>
      <c r="G289" s="508" t="s">
        <v>6901</v>
      </c>
      <c r="H289" s="508" t="s">
        <v>6902</v>
      </c>
      <c r="I289" s="2" t="s">
        <v>6903</v>
      </c>
      <c r="J289" s="507" t="s">
        <v>6904</v>
      </c>
      <c r="K289" s="507" t="s">
        <v>6905</v>
      </c>
      <c r="L289" s="507" t="s">
        <v>6906</v>
      </c>
      <c r="M289" s="507" t="s">
        <v>6907</v>
      </c>
      <c r="N289" s="507" t="s">
        <v>6908</v>
      </c>
    </row>
    <row r="290" spans="1:14" ht="28.8" x14ac:dyDescent="0.3">
      <c r="A290" s="2" t="s">
        <v>6909</v>
      </c>
      <c r="B290" s="506" t="str">
        <f t="shared" si="7"/>
        <v>Description des aléas liés au changement climatique et des événements liés à la transition climatique</v>
      </c>
      <c r="C290" s="2" t="s">
        <v>6910</v>
      </c>
      <c r="D290" s="501" t="s">
        <v>6911</v>
      </c>
      <c r="E290" s="501" t="s">
        <v>6912</v>
      </c>
      <c r="F290" s="501" t="s">
        <v>6913</v>
      </c>
      <c r="G290" s="508" t="s">
        <v>6914</v>
      </c>
      <c r="H290" s="508" t="s">
        <v>6915</v>
      </c>
      <c r="I290" s="2" t="s">
        <v>6916</v>
      </c>
      <c r="J290" s="507" t="s">
        <v>6917</v>
      </c>
      <c r="K290" s="507" t="s">
        <v>6918</v>
      </c>
      <c r="L290" s="507" t="s">
        <v>6919</v>
      </c>
      <c r="M290" s="507" t="s">
        <v>6920</v>
      </c>
      <c r="N290" s="507" t="s">
        <v>6921</v>
      </c>
    </row>
    <row r="291" spans="1:14" ht="57.6" x14ac:dyDescent="0.3">
      <c r="A291" s="2" t="s">
        <v>6922</v>
      </c>
      <c r="B291" s="506" t="str">
        <f t="shared" si="7"/>
        <v>Information sur comment elle a évalué l’exposition et la sensibilité de ses actifs, de ses activités et de sa chaîne de valeur à ces aléas et à ces événements liés à la transition</v>
      </c>
      <c r="C291" s="2" t="s">
        <v>6923</v>
      </c>
      <c r="D291" s="501" t="s">
        <v>6924</v>
      </c>
      <c r="E291" s="501" t="s">
        <v>6925</v>
      </c>
      <c r="F291" s="501" t="s">
        <v>6926</v>
      </c>
      <c r="G291" s="508" t="s">
        <v>6927</v>
      </c>
      <c r="H291" s="508" t="s">
        <v>6928</v>
      </c>
      <c r="I291" s="2" t="s">
        <v>6929</v>
      </c>
      <c r="J291" s="507" t="s">
        <v>6930</v>
      </c>
      <c r="K291" s="507" t="s">
        <v>6931</v>
      </c>
      <c r="L291" s="507" t="s">
        <v>6932</v>
      </c>
      <c r="M291" s="507" t="s">
        <v>6933</v>
      </c>
      <c r="N291" s="507" t="s">
        <v>6934</v>
      </c>
    </row>
    <row r="292" spans="1:14" ht="57.6" x14ac:dyDescent="0.3">
      <c r="A292" s="2" t="s">
        <v>6935</v>
      </c>
      <c r="B292" s="506" t="str">
        <f t="shared" si="7"/>
        <v>Horizons temporels des aléas liés au changement climatique et des événements liés à la transition climatique recensés</v>
      </c>
      <c r="C292" s="2" t="s">
        <v>6936</v>
      </c>
      <c r="D292" s="501" t="s">
        <v>6937</v>
      </c>
      <c r="E292" s="501" t="s">
        <v>6938</v>
      </c>
      <c r="F292" s="501" t="s">
        <v>6939</v>
      </c>
      <c r="G292" s="508" t="s">
        <v>6940</v>
      </c>
      <c r="H292" s="508" t="s">
        <v>6941</v>
      </c>
      <c r="I292" s="2" t="s">
        <v>6942</v>
      </c>
      <c r="J292" s="507" t="s">
        <v>6943</v>
      </c>
      <c r="K292" s="507" t="s">
        <v>6944</v>
      </c>
      <c r="L292" s="507" t="s">
        <v>6945</v>
      </c>
      <c r="M292" s="507" t="s">
        <v>6946</v>
      </c>
      <c r="N292" s="507" t="s">
        <v>6947</v>
      </c>
    </row>
    <row r="293" spans="1:14" ht="57.6" x14ac:dyDescent="0.3">
      <c r="A293" s="2" t="s">
        <v>6948</v>
      </c>
      <c r="B293" s="506" t="str">
        <f t="shared" si="7"/>
        <v>Indication si elle a entrepris des actions d’adaptation au changement climatique pour les aléas liés au changement climatique et les événements liés à la transition climatique</v>
      </c>
      <c r="C293" s="2" t="s">
        <v>6949</v>
      </c>
      <c r="D293" s="501" t="s">
        <v>6950</v>
      </c>
      <c r="E293" s="501" t="s">
        <v>6951</v>
      </c>
      <c r="F293" s="516" t="s">
        <v>6952</v>
      </c>
      <c r="G293" s="508" t="s">
        <v>6953</v>
      </c>
      <c r="H293" s="508" t="s">
        <v>6954</v>
      </c>
      <c r="I293" s="2" t="s">
        <v>6955</v>
      </c>
      <c r="J293" s="507" t="s">
        <v>6956</v>
      </c>
      <c r="K293" s="507" t="s">
        <v>6957</v>
      </c>
      <c r="L293" s="507" t="s">
        <v>6958</v>
      </c>
      <c r="M293" s="507" t="s">
        <v>6959</v>
      </c>
      <c r="N293" s="507" t="s">
        <v>6960</v>
      </c>
    </row>
    <row r="294" spans="1:14" ht="86.4" x14ac:dyDescent="0.3">
      <c r="A294" s="2" t="s">
        <v>6961</v>
      </c>
      <c r="B294" s="506" t="str">
        <f t="shared" si="7"/>
        <v>Effets potentiels négatifs des risques climatiques susceptibles d’affecter ses performances financières ou ses activités à court, moyen ou long terme, en indiquant si elle estime que les risques sont élevés, moyens ou faibles</v>
      </c>
      <c r="C294" s="2" t="s">
        <v>6962</v>
      </c>
      <c r="D294" s="501" t="s">
        <v>6963</v>
      </c>
      <c r="E294" s="501" t="s">
        <v>6964</v>
      </c>
      <c r="F294" s="501" t="s">
        <v>6965</v>
      </c>
      <c r="G294" s="508" t="s">
        <v>6966</v>
      </c>
      <c r="H294" s="508" t="s">
        <v>6967</v>
      </c>
      <c r="I294" s="2" t="s">
        <v>6968</v>
      </c>
      <c r="J294" s="507" t="s">
        <v>6969</v>
      </c>
      <c r="K294" s="507" t="s">
        <v>6970</v>
      </c>
      <c r="L294" s="507" t="s">
        <v>6971</v>
      </c>
      <c r="M294" s="507" t="s">
        <v>6972</v>
      </c>
      <c r="N294" s="507" t="s">
        <v>6973</v>
      </c>
    </row>
    <row r="295" spans="1:14" ht="43.2" x14ac:dyDescent="0.3">
      <c r="A295" s="2" t="s">
        <v>6974</v>
      </c>
      <c r="B295" s="506" t="str">
        <f t="shared" si="7"/>
        <v>Publication de toute autre information environnementale et/ ou spécifique à l'entité</v>
      </c>
      <c r="C295" s="2" t="s">
        <v>6975</v>
      </c>
      <c r="D295" s="2" t="s">
        <v>6976</v>
      </c>
      <c r="E295" s="2" t="s">
        <v>6977</v>
      </c>
      <c r="F295" s="2" t="s">
        <v>6978</v>
      </c>
      <c r="G295" s="2" t="s">
        <v>6979</v>
      </c>
      <c r="H295" s="2" t="s">
        <v>6980</v>
      </c>
      <c r="I295" s="2" t="s">
        <v>6981</v>
      </c>
      <c r="J295" s="2" t="s">
        <v>6982</v>
      </c>
      <c r="K295" s="2" t="s">
        <v>6983</v>
      </c>
      <c r="L295" s="2" t="s">
        <v>6984</v>
      </c>
      <c r="M295" s="2" t="s">
        <v>6985</v>
      </c>
      <c r="N295" s="2" t="s">
        <v>6986</v>
      </c>
    </row>
    <row r="296" spans="1:14" ht="43.2" x14ac:dyDescent="0.3">
      <c r="A296" s="2" t="s">
        <v>6987</v>
      </c>
      <c r="B296" s="506" t="str">
        <f t="shared" si="7"/>
        <v>Méthodologie de comptage des effectifs pour les informations ci-dessous (effectif ou équivalent temps plein lié à B1)</v>
      </c>
      <c r="C296" s="2" t="s">
        <v>6988</v>
      </c>
      <c r="D296" s="501" t="s">
        <v>6989</v>
      </c>
      <c r="E296" s="501" t="s">
        <v>6990</v>
      </c>
      <c r="F296" s="501" t="s">
        <v>6991</v>
      </c>
      <c r="G296" s="508" t="s">
        <v>6992</v>
      </c>
      <c r="H296" s="508" t="s">
        <v>6993</v>
      </c>
      <c r="I296" s="2" t="s">
        <v>6994</v>
      </c>
      <c r="J296" s="507" t="s">
        <v>6995</v>
      </c>
      <c r="K296" s="507" t="s">
        <v>6996</v>
      </c>
      <c r="L296" s="507" t="s">
        <v>6997</v>
      </c>
      <c r="M296" s="507" t="s">
        <v>6998</v>
      </c>
      <c r="N296" s="507" t="s">
        <v>6999</v>
      </c>
    </row>
    <row r="297" spans="1:14" ht="58.2" thickBot="1" x14ac:dyDescent="0.35">
      <c r="A297" s="513" t="s">
        <v>7000</v>
      </c>
      <c r="B297" s="510" t="str">
        <f t="shared" si="7"/>
        <v>Méthodologie de comptage des effectifs pour les informations ci-dessous (à la fin de la période de reporting ou en moyenne sur la période de reporting liée à B1)</v>
      </c>
      <c r="C297" s="513" t="s">
        <v>7001</v>
      </c>
      <c r="D297" s="509" t="s">
        <v>7002</v>
      </c>
      <c r="E297" s="509" t="s">
        <v>7003</v>
      </c>
      <c r="F297" s="509" t="s">
        <v>7004</v>
      </c>
      <c r="G297" s="512" t="s">
        <v>7005</v>
      </c>
      <c r="H297" s="512" t="s">
        <v>7006</v>
      </c>
      <c r="I297" s="513" t="s">
        <v>7007</v>
      </c>
      <c r="J297" s="511" t="s">
        <v>7008</v>
      </c>
      <c r="K297" s="511" t="s">
        <v>7009</v>
      </c>
      <c r="L297" s="511" t="s">
        <v>7010</v>
      </c>
      <c r="M297" s="511" t="s">
        <v>7011</v>
      </c>
      <c r="N297" s="511" t="s">
        <v>7012</v>
      </c>
    </row>
    <row r="298" spans="1:14" ht="28.8" x14ac:dyDescent="0.3">
      <c r="A298" s="2" t="s">
        <v>7013</v>
      </c>
      <c r="B298" s="506" t="str">
        <f t="shared" si="7"/>
        <v>B8 –   Personnel – Caractéristiques générales  - Type de contrat</v>
      </c>
      <c r="C298" s="2" t="s">
        <v>7014</v>
      </c>
      <c r="D298" s="501" t="s">
        <v>7015</v>
      </c>
      <c r="E298" s="501" t="s">
        <v>7016</v>
      </c>
      <c r="F298" s="501" t="s">
        <v>7017</v>
      </c>
      <c r="G298" s="508" t="s">
        <v>7018</v>
      </c>
      <c r="H298" s="508" t="s">
        <v>7019</v>
      </c>
      <c r="I298" s="2" t="s">
        <v>7020</v>
      </c>
      <c r="J298" s="507" t="s">
        <v>7021</v>
      </c>
      <c r="K298" s="507" t="s">
        <v>7022</v>
      </c>
      <c r="L298" s="507" t="s">
        <v>7023</v>
      </c>
      <c r="M298" s="507" t="s">
        <v>7024</v>
      </c>
      <c r="N298" s="507" t="s">
        <v>7025</v>
      </c>
    </row>
    <row r="299" spans="1:14" x14ac:dyDescent="0.3">
      <c r="A299" s="2" t="s">
        <v>7026</v>
      </c>
      <c r="B299" s="506" t="str">
        <f t="shared" si="7"/>
        <v>Type de contrat</v>
      </c>
      <c r="C299" s="2" t="s">
        <v>7027</v>
      </c>
      <c r="D299" s="501" t="s">
        <v>7028</v>
      </c>
      <c r="E299" s="501" t="s">
        <v>7029</v>
      </c>
      <c r="F299" s="501" t="s">
        <v>7030</v>
      </c>
      <c r="G299" s="508" t="s">
        <v>7031</v>
      </c>
      <c r="H299" s="508" t="s">
        <v>7032</v>
      </c>
      <c r="I299" s="2" t="s">
        <v>7033</v>
      </c>
      <c r="J299" s="507" t="s">
        <v>7034</v>
      </c>
      <c r="K299" s="507" t="s">
        <v>7035</v>
      </c>
      <c r="L299" s="507" t="s">
        <v>7036</v>
      </c>
      <c r="M299" s="507" t="s">
        <v>7037</v>
      </c>
      <c r="N299" s="507" t="s">
        <v>7036</v>
      </c>
    </row>
    <row r="300" spans="1:14" x14ac:dyDescent="0.3">
      <c r="A300" s="2" t="s">
        <v>7038</v>
      </c>
      <c r="B300" s="506" t="str">
        <f t="shared" ref="B300:B363" si="8">INDEX(C300:N300,MATCH(template_selected_display_language,$C$3:$N$3,0))</f>
        <v>Contrat de travail à durée indéterminée</v>
      </c>
      <c r="C300" s="2" t="s">
        <v>7039</v>
      </c>
      <c r="D300" s="501" t="s">
        <v>7040</v>
      </c>
      <c r="E300" s="501" t="s">
        <v>7041</v>
      </c>
      <c r="F300" s="501" t="s">
        <v>7042</v>
      </c>
      <c r="G300" s="508" t="s">
        <v>7043</v>
      </c>
      <c r="H300" s="508" t="s">
        <v>7044</v>
      </c>
      <c r="I300" s="2" t="s">
        <v>10884</v>
      </c>
      <c r="J300" s="507" t="s">
        <v>7045</v>
      </c>
      <c r="K300" s="507" t="s">
        <v>7046</v>
      </c>
      <c r="L300" s="507" t="s">
        <v>7047</v>
      </c>
      <c r="M300" s="507" t="s">
        <v>7048</v>
      </c>
      <c r="N300" s="507" t="s">
        <v>7049</v>
      </c>
    </row>
    <row r="301" spans="1:14" x14ac:dyDescent="0.3">
      <c r="A301" s="2" t="s">
        <v>7050</v>
      </c>
      <c r="B301" s="506" t="str">
        <f t="shared" si="8"/>
        <v>Contrat de travail à durée déterminée</v>
      </c>
      <c r="C301" s="2" t="s">
        <v>7051</v>
      </c>
      <c r="D301" s="501" t="s">
        <v>7052</v>
      </c>
      <c r="E301" s="501" t="s">
        <v>7053</v>
      </c>
      <c r="F301" s="501" t="s">
        <v>7054</v>
      </c>
      <c r="G301" s="508" t="s">
        <v>7055</v>
      </c>
      <c r="H301" s="508" t="s">
        <v>7056</v>
      </c>
      <c r="I301" s="2" t="s">
        <v>7057</v>
      </c>
      <c r="J301" s="507" t="s">
        <v>7058</v>
      </c>
      <c r="K301" s="507" t="s">
        <v>7059</v>
      </c>
      <c r="L301" s="507" t="s">
        <v>7060</v>
      </c>
      <c r="M301" s="507" t="s">
        <v>7061</v>
      </c>
      <c r="N301" s="507" t="s">
        <v>7062</v>
      </c>
    </row>
    <row r="302" spans="1:14" ht="15" thickBot="1" x14ac:dyDescent="0.35">
      <c r="A302" s="513" t="s">
        <v>7063</v>
      </c>
      <c r="B302" s="510" t="str">
        <f t="shared" si="8"/>
        <v>Nombre total de salariés (lié à B1)</v>
      </c>
      <c r="C302" s="513" t="s">
        <v>7064</v>
      </c>
      <c r="D302" s="509" t="s">
        <v>7065</v>
      </c>
      <c r="E302" s="509" t="s">
        <v>7066</v>
      </c>
      <c r="F302" s="509" t="s">
        <v>7067</v>
      </c>
      <c r="G302" s="512" t="s">
        <v>7068</v>
      </c>
      <c r="H302" s="512" t="s">
        <v>7069</v>
      </c>
      <c r="I302" s="513" t="s">
        <v>7070</v>
      </c>
      <c r="J302" s="511" t="s">
        <v>7071</v>
      </c>
      <c r="K302" s="511" t="s">
        <v>7072</v>
      </c>
      <c r="L302" s="511" t="s">
        <v>7073</v>
      </c>
      <c r="M302" s="511" t="s">
        <v>7074</v>
      </c>
      <c r="N302" s="511" t="s">
        <v>7075</v>
      </c>
    </row>
    <row r="303" spans="1:14" ht="43.2" x14ac:dyDescent="0.3">
      <c r="A303" s="2" t="s">
        <v>7076</v>
      </c>
      <c r="B303" s="506" t="str">
        <f t="shared" si="8"/>
        <v>B8 –   Personnel – Caractéristiques générales  - Genre</v>
      </c>
      <c r="C303" s="2" t="s">
        <v>7077</v>
      </c>
      <c r="D303" s="501" t="s">
        <v>7078</v>
      </c>
      <c r="E303" s="501" t="s">
        <v>7079</v>
      </c>
      <c r="F303" s="501" t="s">
        <v>7080</v>
      </c>
      <c r="G303" s="508" t="s">
        <v>7081</v>
      </c>
      <c r="H303" s="508" t="s">
        <v>7082</v>
      </c>
      <c r="I303" s="2" t="s">
        <v>7083</v>
      </c>
      <c r="J303" s="507" t="s">
        <v>7084</v>
      </c>
      <c r="K303" s="507" t="s">
        <v>7085</v>
      </c>
      <c r="L303" s="507" t="s">
        <v>7086</v>
      </c>
      <c r="M303" s="507" t="s">
        <v>7087</v>
      </c>
      <c r="N303" s="507" t="s">
        <v>7088</v>
      </c>
    </row>
    <row r="304" spans="1:14" x14ac:dyDescent="0.3">
      <c r="A304" s="2" t="s">
        <v>7089</v>
      </c>
      <c r="B304" s="506" t="str">
        <f t="shared" si="8"/>
        <v>Genre</v>
      </c>
      <c r="C304" s="2" t="s">
        <v>7090</v>
      </c>
      <c r="D304" s="501" t="s">
        <v>7091</v>
      </c>
      <c r="E304" s="501" t="s">
        <v>7090</v>
      </c>
      <c r="F304" s="501" t="s">
        <v>7092</v>
      </c>
      <c r="G304" s="508" t="s">
        <v>7093</v>
      </c>
      <c r="H304" s="508" t="s">
        <v>7094</v>
      </c>
      <c r="I304" s="2" t="s">
        <v>7095</v>
      </c>
      <c r="J304" s="507" t="s">
        <v>7096</v>
      </c>
      <c r="K304" s="507" t="s">
        <v>7097</v>
      </c>
      <c r="L304" s="507" t="s">
        <v>7098</v>
      </c>
      <c r="M304" s="507" t="s">
        <v>7099</v>
      </c>
      <c r="N304" s="507" t="s">
        <v>7098</v>
      </c>
    </row>
    <row r="305" spans="1:14" x14ac:dyDescent="0.3">
      <c r="A305" s="2" t="s">
        <v>7100</v>
      </c>
      <c r="B305" s="506" t="str">
        <f t="shared" si="8"/>
        <v>Homme</v>
      </c>
      <c r="C305" s="2" t="s">
        <v>7101</v>
      </c>
      <c r="D305" s="501" t="s">
        <v>7102</v>
      </c>
      <c r="E305" s="501" t="s">
        <v>7103</v>
      </c>
      <c r="F305" s="501" t="s">
        <v>7104</v>
      </c>
      <c r="G305" s="508" t="s">
        <v>7105</v>
      </c>
      <c r="H305" s="508" t="s">
        <v>7106</v>
      </c>
      <c r="I305" s="2" t="s">
        <v>7107</v>
      </c>
      <c r="J305" s="507" t="s">
        <v>7108</v>
      </c>
      <c r="K305" s="507" t="s">
        <v>7109</v>
      </c>
      <c r="L305" s="507" t="s">
        <v>7110</v>
      </c>
      <c r="M305" s="507" t="s">
        <v>7111</v>
      </c>
      <c r="N305" s="507" t="s">
        <v>7110</v>
      </c>
    </row>
    <row r="306" spans="1:14" x14ac:dyDescent="0.3">
      <c r="A306" s="2" t="s">
        <v>7112</v>
      </c>
      <c r="B306" s="506" t="str">
        <f t="shared" si="8"/>
        <v>Femme</v>
      </c>
      <c r="C306" s="2" t="s">
        <v>7113</v>
      </c>
      <c r="D306" s="501" t="s">
        <v>7114</v>
      </c>
      <c r="E306" s="501" t="s">
        <v>7115</v>
      </c>
      <c r="F306" s="501" t="s">
        <v>7116</v>
      </c>
      <c r="G306" s="508" t="s">
        <v>7117</v>
      </c>
      <c r="H306" s="508" t="s">
        <v>7118</v>
      </c>
      <c r="I306" s="2" t="s">
        <v>7119</v>
      </c>
      <c r="J306" s="507" t="s">
        <v>7120</v>
      </c>
      <c r="K306" s="507" t="s">
        <v>7121</v>
      </c>
      <c r="L306" s="507" t="s">
        <v>7122</v>
      </c>
      <c r="M306" s="507" t="s">
        <v>7123</v>
      </c>
      <c r="N306" s="507" t="s">
        <v>7124</v>
      </c>
    </row>
    <row r="307" spans="1:14" x14ac:dyDescent="0.3">
      <c r="A307" s="2" t="s">
        <v>7125</v>
      </c>
      <c r="B307" s="506" t="str">
        <f t="shared" si="8"/>
        <v>Autre</v>
      </c>
      <c r="C307" s="2" t="s">
        <v>461</v>
      </c>
      <c r="D307" s="501" t="s">
        <v>7126</v>
      </c>
      <c r="E307" s="501" t="s">
        <v>7127</v>
      </c>
      <c r="F307" s="501" t="s">
        <v>7128</v>
      </c>
      <c r="G307" s="508" t="s">
        <v>7129</v>
      </c>
      <c r="H307" s="508" t="s">
        <v>7130</v>
      </c>
      <c r="I307" s="2" t="s">
        <v>7131</v>
      </c>
      <c r="J307" s="507" t="s">
        <v>7132</v>
      </c>
      <c r="K307" s="507" t="s">
        <v>7133</v>
      </c>
      <c r="L307" s="507" t="s">
        <v>7134</v>
      </c>
      <c r="M307" s="507" t="s">
        <v>7135</v>
      </c>
      <c r="N307" s="507" t="s">
        <v>7136</v>
      </c>
    </row>
    <row r="308" spans="1:14" ht="15" thickBot="1" x14ac:dyDescent="0.35">
      <c r="A308" s="513" t="s">
        <v>7137</v>
      </c>
      <c r="B308" s="510" t="str">
        <f t="shared" si="8"/>
        <v>Non communiqué</v>
      </c>
      <c r="C308" s="513" t="s">
        <v>7138</v>
      </c>
      <c r="D308" s="509" t="s">
        <v>7139</v>
      </c>
      <c r="E308" s="509" t="s">
        <v>7140</v>
      </c>
      <c r="F308" s="509" t="s">
        <v>7141</v>
      </c>
      <c r="G308" s="512" t="s">
        <v>7142</v>
      </c>
      <c r="H308" s="512" t="s">
        <v>7143</v>
      </c>
      <c r="I308" s="513" t="s">
        <v>7144</v>
      </c>
      <c r="J308" s="511" t="s">
        <v>7145</v>
      </c>
      <c r="K308" s="511" t="s">
        <v>7146</v>
      </c>
      <c r="L308" s="511" t="s">
        <v>7147</v>
      </c>
      <c r="M308" s="511" t="s">
        <v>7148</v>
      </c>
      <c r="N308" s="511" t="s">
        <v>7149</v>
      </c>
    </row>
    <row r="309" spans="1:14" ht="57.6" x14ac:dyDescent="0.3">
      <c r="A309" s="2" t="s">
        <v>7150</v>
      </c>
      <c r="B309" s="506" t="str">
        <f t="shared" si="8"/>
        <v>B8 –   Personnel – Caractéristiques générales  - Pays d'emploi</v>
      </c>
      <c r="C309" s="2" t="s">
        <v>7151</v>
      </c>
      <c r="D309" s="501" t="s">
        <v>7152</v>
      </c>
      <c r="E309" s="501" t="s">
        <v>7153</v>
      </c>
      <c r="F309" s="501" t="s">
        <v>7154</v>
      </c>
      <c r="G309" s="508" t="s">
        <v>7155</v>
      </c>
      <c r="H309" s="508" t="s">
        <v>7156</v>
      </c>
      <c r="I309" s="2" t="s">
        <v>7157</v>
      </c>
      <c r="J309" s="507" t="s">
        <v>7158</v>
      </c>
      <c r="K309" s="507" t="s">
        <v>7159</v>
      </c>
      <c r="L309" s="507" t="s">
        <v>7160</v>
      </c>
      <c r="M309" s="507" t="s">
        <v>7161</v>
      </c>
      <c r="N309" s="507" t="s">
        <v>7162</v>
      </c>
    </row>
    <row r="310" spans="1:14" ht="43.2" x14ac:dyDescent="0.3">
      <c r="A310" s="2" t="s">
        <v>7163</v>
      </c>
      <c r="B310" s="506" t="str">
        <f t="shared" si="8"/>
        <v>Pays du contrat de travail</v>
      </c>
      <c r="C310" s="2" t="s">
        <v>7164</v>
      </c>
      <c r="D310" s="501" t="s">
        <v>7165</v>
      </c>
      <c r="E310" s="501" t="s">
        <v>7166</v>
      </c>
      <c r="F310" s="501" t="s">
        <v>7167</v>
      </c>
      <c r="G310" s="508" t="s">
        <v>7168</v>
      </c>
      <c r="H310" s="508" t="s">
        <v>7169</v>
      </c>
      <c r="I310" s="2" t="s">
        <v>7170</v>
      </c>
      <c r="J310" s="507" t="s">
        <v>7171</v>
      </c>
      <c r="K310" s="507" t="s">
        <v>7172</v>
      </c>
      <c r="L310" s="507" t="s">
        <v>7173</v>
      </c>
      <c r="M310" s="507" t="s">
        <v>7174</v>
      </c>
      <c r="N310" s="507" t="s">
        <v>7175</v>
      </c>
    </row>
    <row r="311" spans="1:14" ht="29.4" thickBot="1" x14ac:dyDescent="0.35">
      <c r="A311" s="513" t="s">
        <v>7176</v>
      </c>
      <c r="B311" s="510" t="str">
        <f t="shared" si="8"/>
        <v>L'entreprise exerce-t-elle ses activités dans plus d'un pays ?</v>
      </c>
      <c r="C311" s="513" t="s">
        <v>7177</v>
      </c>
      <c r="D311" s="509" t="s">
        <v>7178</v>
      </c>
      <c r="E311" s="509" t="s">
        <v>7179</v>
      </c>
      <c r="F311" s="509" t="s">
        <v>7180</v>
      </c>
      <c r="G311" s="512" t="s">
        <v>7181</v>
      </c>
      <c r="H311" s="512" t="s">
        <v>7182</v>
      </c>
      <c r="I311" s="513" t="s">
        <v>7183</v>
      </c>
      <c r="J311" s="511" t="s">
        <v>7184</v>
      </c>
      <c r="K311" s="511" t="s">
        <v>7185</v>
      </c>
      <c r="L311" s="511" t="s">
        <v>7186</v>
      </c>
      <c r="M311" s="511" t="s">
        <v>7187</v>
      </c>
      <c r="N311" s="511" t="s">
        <v>7188</v>
      </c>
    </row>
    <row r="312" spans="1:14" ht="43.2" x14ac:dyDescent="0.3">
      <c r="A312" s="2" t="s">
        <v>7189</v>
      </c>
      <c r="B312" s="506" t="str">
        <f t="shared" si="8"/>
        <v>B8 –   Personnel – Caractéristiques générales  - Taux de rotation des salariés</v>
      </c>
      <c r="C312" s="2" t="s">
        <v>7190</v>
      </c>
      <c r="D312" s="501" t="s">
        <v>7191</v>
      </c>
      <c r="E312" s="501" t="s">
        <v>7192</v>
      </c>
      <c r="F312" s="501" t="s">
        <v>7193</v>
      </c>
      <c r="G312" s="508" t="s">
        <v>7194</v>
      </c>
      <c r="H312" s="508" t="s">
        <v>7195</v>
      </c>
      <c r="I312" s="2" t="s">
        <v>7196</v>
      </c>
      <c r="J312" s="507" t="s">
        <v>7197</v>
      </c>
      <c r="K312" s="507" t="s">
        <v>7198</v>
      </c>
      <c r="L312" s="507" t="s">
        <v>7199</v>
      </c>
      <c r="M312" s="507" t="s">
        <v>7200</v>
      </c>
      <c r="N312" s="507" t="s">
        <v>7201</v>
      </c>
    </row>
    <row r="313" spans="1:14" ht="57.6" x14ac:dyDescent="0.3">
      <c r="A313" s="2" t="s">
        <v>7202</v>
      </c>
      <c r="B313" s="506" t="str">
        <f t="shared" si="8"/>
        <v>Nombre de salariés ayant quitté l'entreprise pendant la période de reporting</v>
      </c>
      <c r="C313" s="2" t="s">
        <v>7203</v>
      </c>
      <c r="D313" s="501" t="s">
        <v>7204</v>
      </c>
      <c r="E313" s="501" t="s">
        <v>7205</v>
      </c>
      <c r="F313" s="501" t="s">
        <v>7206</v>
      </c>
      <c r="G313" s="508" t="s">
        <v>7207</v>
      </c>
      <c r="H313" s="508" t="s">
        <v>7208</v>
      </c>
      <c r="I313" s="2" t="s">
        <v>7209</v>
      </c>
      <c r="J313" s="507" t="s">
        <v>7210</v>
      </c>
      <c r="K313" s="507" t="s">
        <v>7211</v>
      </c>
      <c r="L313" s="507" t="s">
        <v>7212</v>
      </c>
      <c r="M313" s="507" t="s">
        <v>7213</v>
      </c>
      <c r="N313" s="507" t="s">
        <v>7214</v>
      </c>
    </row>
    <row r="314" spans="1:14" ht="28.8" x14ac:dyDescent="0.3">
      <c r="A314" s="2" t="s">
        <v>7215</v>
      </c>
      <c r="B314" s="506" t="str">
        <f t="shared" si="8"/>
        <v>Nombre de salariés au début de la période de reporting</v>
      </c>
      <c r="C314" s="2" t="s">
        <v>7216</v>
      </c>
      <c r="D314" s="501" t="s">
        <v>7217</v>
      </c>
      <c r="E314" s="501" t="s">
        <v>7218</v>
      </c>
      <c r="F314" s="501" t="s">
        <v>7219</v>
      </c>
      <c r="G314" s="508" t="s">
        <v>7220</v>
      </c>
      <c r="H314" s="508" t="s">
        <v>7221</v>
      </c>
      <c r="I314" s="2" t="s">
        <v>7222</v>
      </c>
      <c r="J314" s="507" t="s">
        <v>7223</v>
      </c>
      <c r="K314" s="507" t="s">
        <v>7224</v>
      </c>
      <c r="L314" s="507" t="s">
        <v>7225</v>
      </c>
      <c r="M314" s="507" t="s">
        <v>7226</v>
      </c>
      <c r="N314" s="507" t="s">
        <v>7227</v>
      </c>
    </row>
    <row r="315" spans="1:14" ht="28.8" x14ac:dyDescent="0.3">
      <c r="A315" s="2" t="s">
        <v>7228</v>
      </c>
      <c r="B315" s="506" t="str">
        <f t="shared" si="8"/>
        <v>Nombre de salariés à la fin de la période de reporting</v>
      </c>
      <c r="C315" s="2" t="s">
        <v>7229</v>
      </c>
      <c r="D315" s="501" t="s">
        <v>7230</v>
      </c>
      <c r="E315" s="501" t="s">
        <v>7231</v>
      </c>
      <c r="F315" s="501" t="s">
        <v>7232</v>
      </c>
      <c r="G315" s="508" t="s">
        <v>7233</v>
      </c>
      <c r="H315" s="508" t="s">
        <v>7234</v>
      </c>
      <c r="I315" s="2" t="s">
        <v>7235</v>
      </c>
      <c r="J315" s="507" t="s">
        <v>7236</v>
      </c>
      <c r="K315" s="507" t="s">
        <v>7237</v>
      </c>
      <c r="L315" s="507" t="s">
        <v>7238</v>
      </c>
      <c r="M315" s="507" t="s">
        <v>7239</v>
      </c>
      <c r="N315" s="507" t="s">
        <v>7240</v>
      </c>
    </row>
    <row r="316" spans="1:14" ht="58.2" thickBot="1" x14ac:dyDescent="0.35">
      <c r="A316" s="513" t="s">
        <v>7241</v>
      </c>
      <c r="B316" s="510" t="str">
        <f t="shared" si="8"/>
        <v xml:space="preserve">Taux de rotation des salariés [%] pendant la période de reporting
</v>
      </c>
      <c r="C316" s="513" t="s">
        <v>7242</v>
      </c>
      <c r="D316" s="509" t="s">
        <v>7243</v>
      </c>
      <c r="E316" s="509" t="s">
        <v>7244</v>
      </c>
      <c r="F316" s="509" t="s">
        <v>7245</v>
      </c>
      <c r="G316" s="512" t="s">
        <v>7246</v>
      </c>
      <c r="H316" s="512" t="s">
        <v>7247</v>
      </c>
      <c r="I316" s="513" t="s">
        <v>7248</v>
      </c>
      <c r="J316" s="511" t="s">
        <v>7249</v>
      </c>
      <c r="K316" s="511" t="s">
        <v>7250</v>
      </c>
      <c r="L316" s="511" t="s">
        <v>7251</v>
      </c>
      <c r="M316" s="511" t="s">
        <v>7252</v>
      </c>
      <c r="N316" s="511" t="s">
        <v>7253</v>
      </c>
    </row>
    <row r="317" spans="1:14" ht="43.2" x14ac:dyDescent="0.3">
      <c r="A317" s="2" t="s">
        <v>7254</v>
      </c>
      <c r="B317" s="506" t="str">
        <f t="shared" si="8"/>
        <v>B9 – Personnel – Santé et sécurité</v>
      </c>
      <c r="C317" s="2" t="s">
        <v>4223</v>
      </c>
      <c r="D317" s="501" t="s">
        <v>4224</v>
      </c>
      <c r="E317" s="501" t="s">
        <v>7255</v>
      </c>
      <c r="F317" s="501" t="s">
        <v>4226</v>
      </c>
      <c r="G317" s="508" t="s">
        <v>7256</v>
      </c>
      <c r="H317" s="508" t="s">
        <v>7257</v>
      </c>
      <c r="I317" s="2" t="s">
        <v>4229</v>
      </c>
      <c r="J317" s="507" t="s">
        <v>7258</v>
      </c>
      <c r="K317" s="507" t="s">
        <v>7259</v>
      </c>
      <c r="L317" s="507" t="s">
        <v>4232</v>
      </c>
      <c r="M317" s="507" t="s">
        <v>4233</v>
      </c>
      <c r="N317" s="507" t="s">
        <v>7260</v>
      </c>
    </row>
    <row r="318" spans="1:14" ht="28.8" x14ac:dyDescent="0.3">
      <c r="A318" s="2" t="s">
        <v>7261</v>
      </c>
      <c r="B318" s="506" t="str">
        <f t="shared" si="8"/>
        <v>Nombre d'accidents du travail comptabilisables pendant la période de reporting</v>
      </c>
      <c r="C318" s="2" t="s">
        <v>7262</v>
      </c>
      <c r="D318" s="501" t="s">
        <v>7263</v>
      </c>
      <c r="E318" s="501" t="s">
        <v>7264</v>
      </c>
      <c r="F318" s="501" t="s">
        <v>7265</v>
      </c>
      <c r="G318" s="508" t="s">
        <v>7266</v>
      </c>
      <c r="H318" s="508" t="s">
        <v>7267</v>
      </c>
      <c r="I318" s="2" t="s">
        <v>7268</v>
      </c>
      <c r="J318" s="507" t="s">
        <v>7269</v>
      </c>
      <c r="K318" s="507" t="s">
        <v>7270</v>
      </c>
      <c r="L318" s="507" t="s">
        <v>7271</v>
      </c>
      <c r="M318" s="507" t="s">
        <v>7272</v>
      </c>
      <c r="N318" s="507" t="s">
        <v>7273</v>
      </c>
    </row>
    <row r="319" spans="1:14" ht="28.8" x14ac:dyDescent="0.3">
      <c r="A319" s="2" t="s">
        <v>7274</v>
      </c>
      <c r="B319" s="506" t="str">
        <f t="shared" si="8"/>
        <v>Nombre d’heures travaillées par un salarié à temps plein au cours de l'année de référence</v>
      </c>
      <c r="C319" s="2" t="s">
        <v>7275</v>
      </c>
      <c r="D319" s="501" t="s">
        <v>7276</v>
      </c>
      <c r="E319" s="501" t="s">
        <v>7277</v>
      </c>
      <c r="F319" s="501" t="s">
        <v>7278</v>
      </c>
      <c r="G319" s="508" t="s">
        <v>7279</v>
      </c>
      <c r="H319" s="508" t="s">
        <v>7280</v>
      </c>
      <c r="I319" s="2" t="s">
        <v>7281</v>
      </c>
      <c r="J319" s="507" t="s">
        <v>7282</v>
      </c>
      <c r="K319" s="507" t="s">
        <v>7283</v>
      </c>
      <c r="L319" s="507" t="s">
        <v>7284</v>
      </c>
      <c r="M319" s="507" t="s">
        <v>7285</v>
      </c>
      <c r="N319" s="507" t="s">
        <v>7286</v>
      </c>
    </row>
    <row r="320" spans="1:14" ht="28.8" x14ac:dyDescent="0.3">
      <c r="A320" s="2" t="s">
        <v>7287</v>
      </c>
      <c r="B320" s="506" t="str">
        <f t="shared" si="8"/>
        <v>Nombre total d’heures travaillées en un an par l’ensemble des salariés pendant la période de reporting</v>
      </c>
      <c r="C320" s="2" t="s">
        <v>7288</v>
      </c>
      <c r="D320" s="501" t="s">
        <v>7289</v>
      </c>
      <c r="E320" s="501" t="s">
        <v>7290</v>
      </c>
      <c r="F320" s="501" t="s">
        <v>7291</v>
      </c>
      <c r="G320" s="508" t="s">
        <v>7292</v>
      </c>
      <c r="H320" s="508" t="s">
        <v>7293</v>
      </c>
      <c r="I320" s="2" t="s">
        <v>7294</v>
      </c>
      <c r="J320" s="507" t="s">
        <v>7295</v>
      </c>
      <c r="K320" s="507" t="s">
        <v>7296</v>
      </c>
      <c r="L320" s="507" t="s">
        <v>7297</v>
      </c>
      <c r="M320" s="507" t="s">
        <v>7298</v>
      </c>
      <c r="N320" s="507" t="s">
        <v>7299</v>
      </c>
    </row>
    <row r="321" spans="1:14" ht="57.6" x14ac:dyDescent="0.3">
      <c r="A321" s="2" t="s">
        <v>7300</v>
      </c>
      <c r="B321" s="506" t="str">
        <f t="shared" si="8"/>
        <v>Taux d’accidents du travail comptabilisables pendant la période de reporting</v>
      </c>
      <c r="C321" s="2" t="s">
        <v>7301</v>
      </c>
      <c r="D321" s="501" t="s">
        <v>7302</v>
      </c>
      <c r="E321" s="501" t="s">
        <v>7303</v>
      </c>
      <c r="F321" s="501" t="s">
        <v>7304</v>
      </c>
      <c r="G321" s="508" t="s">
        <v>7305</v>
      </c>
      <c r="H321" s="508" t="s">
        <v>7306</v>
      </c>
      <c r="I321" s="2" t="s">
        <v>7307</v>
      </c>
      <c r="J321" s="507" t="s">
        <v>7308</v>
      </c>
      <c r="K321" s="507" t="s">
        <v>7309</v>
      </c>
      <c r="L321" s="507" t="s">
        <v>7310</v>
      </c>
      <c r="M321" s="507" t="s">
        <v>7311</v>
      </c>
      <c r="N321" s="507" t="s">
        <v>7312</v>
      </c>
    </row>
    <row r="322" spans="1:14" ht="29.4" thickBot="1" x14ac:dyDescent="0.35">
      <c r="A322" s="513" t="s">
        <v>7313</v>
      </c>
      <c r="B322" s="510" t="str">
        <f t="shared" si="8"/>
        <v>Nombre de décès dus à des accidents du travail et à des problèmes de santé liés au travail</v>
      </c>
      <c r="C322" s="513" t="s">
        <v>7314</v>
      </c>
      <c r="D322" s="509" t="s">
        <v>7315</v>
      </c>
      <c r="E322" s="509" t="s">
        <v>7316</v>
      </c>
      <c r="F322" s="509" t="s">
        <v>7317</v>
      </c>
      <c r="G322" s="512" t="s">
        <v>7318</v>
      </c>
      <c r="H322" s="512" t="s">
        <v>7319</v>
      </c>
      <c r="I322" s="513" t="s">
        <v>7320</v>
      </c>
      <c r="J322" s="511" t="s">
        <v>7321</v>
      </c>
      <c r="K322" s="511" t="s">
        <v>7322</v>
      </c>
      <c r="L322" s="511" t="s">
        <v>7323</v>
      </c>
      <c r="M322" s="511" t="s">
        <v>7324</v>
      </c>
      <c r="N322" s="511" t="s">
        <v>7325</v>
      </c>
    </row>
    <row r="323" spans="1:14" ht="43.2" x14ac:dyDescent="0.3">
      <c r="A323" s="2" t="s">
        <v>7326</v>
      </c>
      <c r="B323" s="506" t="str">
        <f t="shared" si="8"/>
        <v>B10 – Personnel – Rémunération et négociation collective</v>
      </c>
      <c r="C323" s="2" t="s">
        <v>7327</v>
      </c>
      <c r="D323" s="501" t="s">
        <v>7328</v>
      </c>
      <c r="E323" s="501" t="s">
        <v>7329</v>
      </c>
      <c r="F323" s="501" t="s">
        <v>7330</v>
      </c>
      <c r="G323" s="508" t="s">
        <v>7331</v>
      </c>
      <c r="H323" s="508" t="s">
        <v>7332</v>
      </c>
      <c r="I323" s="2" t="s">
        <v>7333</v>
      </c>
      <c r="J323" s="507" t="s">
        <v>7334</v>
      </c>
      <c r="K323" s="507" t="s">
        <v>7335</v>
      </c>
      <c r="L323" s="507" t="s">
        <v>7336</v>
      </c>
      <c r="M323" s="507" t="s">
        <v>7337</v>
      </c>
      <c r="N323" s="507" t="s">
        <v>7338</v>
      </c>
    </row>
    <row r="324" spans="1:14" ht="100.8" x14ac:dyDescent="0.3">
      <c r="A324" s="2" t="s">
        <v>7339</v>
      </c>
      <c r="B324" s="506" t="str">
        <f t="shared" si="8"/>
        <v>Les salariés perçoivent une rémunération égale ou supérieure au salaire minimal applicable, déterminé directement par la législation nationale sur le salaire minimum ou par une convention collective.</v>
      </c>
      <c r="C324" s="2" t="s">
        <v>7340</v>
      </c>
      <c r="D324" s="501" t="s">
        <v>7341</v>
      </c>
      <c r="E324" s="501" t="s">
        <v>7342</v>
      </c>
      <c r="F324" s="501" t="s">
        <v>7343</v>
      </c>
      <c r="G324" s="508" t="s">
        <v>7344</v>
      </c>
      <c r="H324" s="508" t="s">
        <v>7345</v>
      </c>
      <c r="I324" s="2" t="s">
        <v>7346</v>
      </c>
      <c r="J324" s="507" t="s">
        <v>7347</v>
      </c>
      <c r="K324" s="507" t="s">
        <v>7348</v>
      </c>
      <c r="L324" s="507" t="s">
        <v>7349</v>
      </c>
      <c r="M324" s="507" t="s">
        <v>7350</v>
      </c>
      <c r="N324" s="507" t="s">
        <v>7351</v>
      </c>
    </row>
    <row r="325" spans="1:14" ht="28.8" x14ac:dyDescent="0.3">
      <c r="A325" s="2" t="s">
        <v>7352</v>
      </c>
      <c r="B325" s="506" t="str">
        <f t="shared" si="8"/>
        <v>Rémunération horaire brute moyenne des salariés hommes</v>
      </c>
      <c r="C325" s="2" t="s">
        <v>7353</v>
      </c>
      <c r="D325" s="501" t="s">
        <v>7354</v>
      </c>
      <c r="E325" s="501" t="s">
        <v>7355</v>
      </c>
      <c r="F325" s="501" t="s">
        <v>7356</v>
      </c>
      <c r="G325" s="508" t="s">
        <v>7357</v>
      </c>
      <c r="H325" s="508" t="s">
        <v>7358</v>
      </c>
      <c r="I325" s="2" t="s">
        <v>7359</v>
      </c>
      <c r="J325" s="507" t="s">
        <v>7360</v>
      </c>
      <c r="K325" s="507" t="s">
        <v>7361</v>
      </c>
      <c r="L325" s="507" t="s">
        <v>7362</v>
      </c>
      <c r="M325" s="507" t="s">
        <v>7363</v>
      </c>
      <c r="N325" s="507" t="s">
        <v>7364</v>
      </c>
    </row>
    <row r="326" spans="1:14" ht="28.8" x14ac:dyDescent="0.3">
      <c r="A326" s="2" t="s">
        <v>7365</v>
      </c>
      <c r="B326" s="506" t="str">
        <f t="shared" si="8"/>
        <v>Rémunération horaire brute moyenne des salariés femmes</v>
      </c>
      <c r="C326" s="2" t="s">
        <v>7366</v>
      </c>
      <c r="D326" s="501" t="s">
        <v>7367</v>
      </c>
      <c r="E326" s="501" t="s">
        <v>7368</v>
      </c>
      <c r="F326" s="501" t="s">
        <v>7369</v>
      </c>
      <c r="G326" s="508" t="s">
        <v>7370</v>
      </c>
      <c r="H326" s="508" t="s">
        <v>7371</v>
      </c>
      <c r="I326" s="2" t="s">
        <v>7372</v>
      </c>
      <c r="J326" s="507" t="s">
        <v>7373</v>
      </c>
      <c r="K326" s="507" t="s">
        <v>7374</v>
      </c>
      <c r="L326" s="507" t="s">
        <v>7375</v>
      </c>
      <c r="M326" s="507" t="s">
        <v>7376</v>
      </c>
      <c r="N326" s="507" t="s">
        <v>7377</v>
      </c>
    </row>
    <row r="327" spans="1:14" ht="72" x14ac:dyDescent="0.3">
      <c r="A327" s="2" t="s">
        <v>7378</v>
      </c>
      <c r="B327" s="506" t="str">
        <f t="shared" si="8"/>
        <v>Écart de rémunération en pourcentage entre les salariés femmes et hommes de l'entreprise [%]</v>
      </c>
      <c r="C327" s="2" t="s">
        <v>7379</v>
      </c>
      <c r="D327" s="501" t="s">
        <v>7380</v>
      </c>
      <c r="E327" s="501" t="s">
        <v>7381</v>
      </c>
      <c r="F327" s="501" t="s">
        <v>7382</v>
      </c>
      <c r="G327" s="508" t="s">
        <v>7383</v>
      </c>
      <c r="H327" s="508" t="s">
        <v>7384</v>
      </c>
      <c r="I327" s="2" t="s">
        <v>7385</v>
      </c>
      <c r="J327" s="507" t="s">
        <v>7386</v>
      </c>
      <c r="K327" s="507" t="s">
        <v>7387</v>
      </c>
      <c r="L327" s="507" t="s">
        <v>7388</v>
      </c>
      <c r="M327" s="507" t="s">
        <v>7389</v>
      </c>
      <c r="N327" s="507" t="s">
        <v>7390</v>
      </c>
    </row>
    <row r="328" spans="1:14" ht="28.8" x14ac:dyDescent="0.3">
      <c r="A328" s="2" t="s">
        <v>7391</v>
      </c>
      <c r="B328" s="506" t="str">
        <f t="shared" si="8"/>
        <v>Nombre de salariés couverts par des conventions collectives</v>
      </c>
      <c r="C328" s="2" t="s">
        <v>7392</v>
      </c>
      <c r="D328" s="501" t="s">
        <v>7393</v>
      </c>
      <c r="E328" s="501" t="s">
        <v>7394</v>
      </c>
      <c r="F328" s="501" t="s">
        <v>7395</v>
      </c>
      <c r="G328" s="508" t="s">
        <v>7396</v>
      </c>
      <c r="H328" s="508" t="s">
        <v>7397</v>
      </c>
      <c r="I328" s="2" t="s">
        <v>7398</v>
      </c>
      <c r="J328" s="507" t="s">
        <v>7399</v>
      </c>
      <c r="K328" s="507" t="s">
        <v>7400</v>
      </c>
      <c r="L328" s="507" t="s">
        <v>7401</v>
      </c>
      <c r="M328" s="507" t="s">
        <v>7402</v>
      </c>
      <c r="N328" s="507" t="s">
        <v>7403</v>
      </c>
    </row>
    <row r="329" spans="1:14" ht="29.4" thickBot="1" x14ac:dyDescent="0.35">
      <c r="A329" s="513" t="s">
        <v>7404</v>
      </c>
      <c r="B329" s="510" t="str">
        <f t="shared" si="8"/>
        <v>Pourcentage des salariés couverts par des conventions collectives  [%]</v>
      </c>
      <c r="C329" s="513" t="s">
        <v>7405</v>
      </c>
      <c r="D329" s="509" t="s">
        <v>7406</v>
      </c>
      <c r="E329" s="509" t="s">
        <v>7407</v>
      </c>
      <c r="F329" s="509" t="s">
        <v>7408</v>
      </c>
      <c r="G329" s="512" t="s">
        <v>7409</v>
      </c>
      <c r="H329" s="512" t="s">
        <v>7410</v>
      </c>
      <c r="I329" s="513" t="s">
        <v>7411</v>
      </c>
      <c r="J329" s="511" t="s">
        <v>7412</v>
      </c>
      <c r="K329" s="511" t="s">
        <v>7413</v>
      </c>
      <c r="L329" s="511" t="s">
        <v>7414</v>
      </c>
      <c r="M329" s="511" t="s">
        <v>7415</v>
      </c>
      <c r="N329" s="511" t="s">
        <v>7416</v>
      </c>
    </row>
    <row r="330" spans="1:14" ht="57.6" x14ac:dyDescent="0.3">
      <c r="A330" s="2" t="s">
        <v>7417</v>
      </c>
      <c r="B330" s="506" t="str">
        <f t="shared" si="8"/>
        <v>B10 – Personnel – Nombre moyen d'heures annuelles de formation par salarié au cours de la période de reporting</v>
      </c>
      <c r="C330" s="2" t="s">
        <v>7418</v>
      </c>
      <c r="D330" s="501" t="s">
        <v>7419</v>
      </c>
      <c r="E330" s="501" t="s">
        <v>7420</v>
      </c>
      <c r="F330" s="501" t="s">
        <v>7421</v>
      </c>
      <c r="G330" s="508" t="s">
        <v>7422</v>
      </c>
      <c r="H330" s="508" t="s">
        <v>7423</v>
      </c>
      <c r="I330" s="2" t="s">
        <v>7424</v>
      </c>
      <c r="J330" s="507" t="s">
        <v>7425</v>
      </c>
      <c r="K330" s="507" t="s">
        <v>7426</v>
      </c>
      <c r="L330" s="507" t="s">
        <v>7427</v>
      </c>
      <c r="M330" s="507" t="s">
        <v>7428</v>
      </c>
      <c r="N330" s="507" t="s">
        <v>7429</v>
      </c>
    </row>
    <row r="331" spans="1:14" ht="29.4" thickBot="1" x14ac:dyDescent="0.35">
      <c r="A331" s="513" t="s">
        <v>7430</v>
      </c>
      <c r="B331" s="510" t="str">
        <f t="shared" si="8"/>
        <v>Nombre moyen d’heures de formation annuelles par salarié</v>
      </c>
      <c r="C331" s="513" t="s">
        <v>7431</v>
      </c>
      <c r="D331" s="509" t="s">
        <v>7432</v>
      </c>
      <c r="E331" s="509" t="s">
        <v>7433</v>
      </c>
      <c r="F331" s="509" t="s">
        <v>7434</v>
      </c>
      <c r="G331" s="512" t="s">
        <v>7435</v>
      </c>
      <c r="H331" s="512" t="s">
        <v>7436</v>
      </c>
      <c r="I331" s="513" t="s">
        <v>7437</v>
      </c>
      <c r="J331" s="511" t="s">
        <v>7438</v>
      </c>
      <c r="K331" s="511" t="s">
        <v>7439</v>
      </c>
      <c r="L331" s="511" t="s">
        <v>7440</v>
      </c>
      <c r="M331" s="511" t="s">
        <v>7441</v>
      </c>
      <c r="N331" s="511" t="s">
        <v>7442</v>
      </c>
    </row>
    <row r="332" spans="1:14" ht="28.8" x14ac:dyDescent="0.3">
      <c r="A332" s="2" t="s">
        <v>7443</v>
      </c>
      <c r="B332" s="506" t="str">
        <f t="shared" si="8"/>
        <v>C5 – Caractéristiques supplémentaires (générales) du personnel</v>
      </c>
      <c r="C332" s="2" t="s">
        <v>4332</v>
      </c>
      <c r="D332" s="501" t="s">
        <v>7444</v>
      </c>
      <c r="E332" s="501" t="s">
        <v>7445</v>
      </c>
      <c r="F332" s="501" t="s">
        <v>4335</v>
      </c>
      <c r="G332" s="508" t="s">
        <v>7446</v>
      </c>
      <c r="H332" s="508" t="s">
        <v>7447</v>
      </c>
      <c r="I332" s="2" t="s">
        <v>4338</v>
      </c>
      <c r="J332" s="507" t="s">
        <v>7448</v>
      </c>
      <c r="K332" s="507" t="s">
        <v>4340</v>
      </c>
      <c r="L332" s="507" t="s">
        <v>7449</v>
      </c>
      <c r="M332" s="507" t="s">
        <v>7450</v>
      </c>
      <c r="N332" s="507" t="s">
        <v>4343</v>
      </c>
    </row>
    <row r="333" spans="1:14" ht="28.8" x14ac:dyDescent="0.3">
      <c r="A333" s="2" t="s">
        <v>7451</v>
      </c>
      <c r="B333" s="506" t="str">
        <f t="shared" si="8"/>
        <v>Nombre de salariés hommes au niveau de la direction</v>
      </c>
      <c r="C333" s="2" t="s">
        <v>7452</v>
      </c>
      <c r="D333" s="501" t="s">
        <v>7453</v>
      </c>
      <c r="E333" s="501" t="s">
        <v>7454</v>
      </c>
      <c r="F333" s="501" t="s">
        <v>7455</v>
      </c>
      <c r="G333" s="508" t="s">
        <v>7456</v>
      </c>
      <c r="H333" s="508" t="s">
        <v>7457</v>
      </c>
      <c r="I333" s="2" t="s">
        <v>7458</v>
      </c>
      <c r="J333" s="507" t="s">
        <v>7459</v>
      </c>
      <c r="K333" s="507" t="s">
        <v>7460</v>
      </c>
      <c r="L333" s="507" t="s">
        <v>7461</v>
      </c>
      <c r="M333" s="507" t="s">
        <v>7462</v>
      </c>
      <c r="N333" s="507" t="s">
        <v>7463</v>
      </c>
    </row>
    <row r="334" spans="1:14" ht="28.8" x14ac:dyDescent="0.3">
      <c r="A334" s="2" t="s">
        <v>7464</v>
      </c>
      <c r="B334" s="506" t="str">
        <f t="shared" si="8"/>
        <v>Nombre de salariés femmes au niveau de la direction</v>
      </c>
      <c r="C334" s="2" t="s">
        <v>7465</v>
      </c>
      <c r="D334" s="501" t="s">
        <v>7466</v>
      </c>
      <c r="E334" s="501" t="s">
        <v>7467</v>
      </c>
      <c r="F334" s="501" t="s">
        <v>7468</v>
      </c>
      <c r="G334" s="508" t="s">
        <v>7469</v>
      </c>
      <c r="H334" s="508" t="s">
        <v>7470</v>
      </c>
      <c r="I334" s="2" t="s">
        <v>7471</v>
      </c>
      <c r="J334" s="507" t="s">
        <v>7472</v>
      </c>
      <c r="K334" s="507" t="s">
        <v>7473</v>
      </c>
      <c r="L334" s="507" t="s">
        <v>7474</v>
      </c>
      <c r="M334" s="507" t="s">
        <v>7475</v>
      </c>
      <c r="N334" s="507" t="s">
        <v>7476</v>
      </c>
    </row>
    <row r="335" spans="1:14" ht="28.8" x14ac:dyDescent="0.3">
      <c r="A335" s="2" t="s">
        <v>7477</v>
      </c>
      <c r="B335" s="506" t="str">
        <f t="shared" si="8"/>
        <v>Ratio femmes/hommes au niveau de la direction pour la période de reporting</v>
      </c>
      <c r="C335" s="2" t="s">
        <v>7478</v>
      </c>
      <c r="D335" s="501" t="s">
        <v>7479</v>
      </c>
      <c r="E335" s="501" t="s">
        <v>7480</v>
      </c>
      <c r="F335" s="501" t="s">
        <v>7481</v>
      </c>
      <c r="G335" s="508" t="s">
        <v>7482</v>
      </c>
      <c r="H335" s="508" t="s">
        <v>7483</v>
      </c>
      <c r="I335" s="2" t="s">
        <v>7484</v>
      </c>
      <c r="J335" s="507" t="s">
        <v>7485</v>
      </c>
      <c r="K335" s="507" t="s">
        <v>7486</v>
      </c>
      <c r="L335" s="507" t="s">
        <v>7487</v>
      </c>
      <c r="M335" s="507" t="s">
        <v>7488</v>
      </c>
      <c r="N335" s="507" t="s">
        <v>7489</v>
      </c>
    </row>
    <row r="336" spans="1:14" ht="28.8" x14ac:dyDescent="0.3">
      <c r="A336" s="2" t="s">
        <v>7490</v>
      </c>
      <c r="B336" s="506" t="str">
        <f t="shared" si="8"/>
        <v>Total des travailleurs indépendants sans personnel qui travaillent exclusivement pour l’entreprise</v>
      </c>
      <c r="C336" s="2" t="s">
        <v>7491</v>
      </c>
      <c r="D336" s="501" t="s">
        <v>7492</v>
      </c>
      <c r="E336" s="501" t="s">
        <v>7493</v>
      </c>
      <c r="F336" s="501" t="s">
        <v>7494</v>
      </c>
      <c r="G336" s="508" t="s">
        <v>7495</v>
      </c>
      <c r="H336" s="508" t="s">
        <v>7496</v>
      </c>
      <c r="I336" s="2" t="s">
        <v>7497</v>
      </c>
      <c r="J336" s="507" t="s">
        <v>7498</v>
      </c>
      <c r="K336" s="507" t="s">
        <v>7499</v>
      </c>
      <c r="L336" s="507" t="s">
        <v>7500</v>
      </c>
      <c r="M336" s="507" t="s">
        <v>7501</v>
      </c>
      <c r="N336" s="507" t="s">
        <v>7502</v>
      </c>
    </row>
    <row r="337" spans="1:14" ht="43.8" thickBot="1" x14ac:dyDescent="0.35">
      <c r="A337" s="513" t="s">
        <v>7503</v>
      </c>
      <c r="B337" s="510" t="str">
        <f t="shared" si="8"/>
        <v>Total des travailleurs temporaires mis à disposition par des entreprises exerçant principalement des activités liées à l’emploi</v>
      </c>
      <c r="C337" s="513" t="s">
        <v>7504</v>
      </c>
      <c r="D337" s="509" t="s">
        <v>7505</v>
      </c>
      <c r="E337" s="509" t="s">
        <v>7506</v>
      </c>
      <c r="F337" s="509" t="s">
        <v>7507</v>
      </c>
      <c r="G337" s="512" t="s">
        <v>7508</v>
      </c>
      <c r="H337" s="512" t="s">
        <v>7509</v>
      </c>
      <c r="I337" s="513" t="s">
        <v>7510</v>
      </c>
      <c r="J337" s="511" t="s">
        <v>7511</v>
      </c>
      <c r="K337" s="511" t="s">
        <v>7512</v>
      </c>
      <c r="L337" s="511" t="s">
        <v>7513</v>
      </c>
      <c r="M337" s="511" t="s">
        <v>7514</v>
      </c>
      <c r="N337" s="511" t="s">
        <v>7515</v>
      </c>
    </row>
    <row r="338" spans="1:14" ht="43.2" x14ac:dyDescent="0.3">
      <c r="A338" s="2" t="s">
        <v>7516</v>
      </c>
      <c r="B338" s="506" t="str">
        <f t="shared" si="8"/>
        <v>C6 – Informations supplémentaires sur le personnel de l’entreprise – Politiques et procédures en matière de droits de l’homme</v>
      </c>
      <c r="C338" s="2" t="s">
        <v>4345</v>
      </c>
      <c r="D338" s="501" t="s">
        <v>7517</v>
      </c>
      <c r="E338" s="501" t="s">
        <v>7518</v>
      </c>
      <c r="F338" s="501" t="s">
        <v>7519</v>
      </c>
      <c r="G338" s="508" t="s">
        <v>7520</v>
      </c>
      <c r="H338" s="508" t="s">
        <v>7521</v>
      </c>
      <c r="I338" s="2" t="s">
        <v>7522</v>
      </c>
      <c r="J338" s="507" t="s">
        <v>7523</v>
      </c>
      <c r="K338" s="507" t="s">
        <v>4353</v>
      </c>
      <c r="L338" s="507" t="s">
        <v>7524</v>
      </c>
      <c r="M338" s="507" t="s">
        <v>7525</v>
      </c>
      <c r="N338" s="507" t="s">
        <v>4356</v>
      </c>
    </row>
    <row r="339" spans="1:14" ht="43.2" x14ac:dyDescent="0.3">
      <c r="A339" s="2" t="s">
        <v>7526</v>
      </c>
      <c r="B339" s="506" t="str">
        <f t="shared" si="8"/>
        <v>L’entreprise dispose-t-elle d’un code de conduite ou d’une politique en matière de droits de l’homme pour son personnel ?</v>
      </c>
      <c r="C339" s="2" t="s">
        <v>7527</v>
      </c>
      <c r="D339" s="501" t="s">
        <v>7528</v>
      </c>
      <c r="E339" s="501" t="s">
        <v>7529</v>
      </c>
      <c r="F339" s="501" t="s">
        <v>7530</v>
      </c>
      <c r="G339" s="508" t="s">
        <v>7531</v>
      </c>
      <c r="H339" s="508" t="s">
        <v>7532</v>
      </c>
      <c r="I339" s="2" t="s">
        <v>7533</v>
      </c>
      <c r="J339" s="507" t="s">
        <v>7534</v>
      </c>
      <c r="K339" s="507" t="s">
        <v>7535</v>
      </c>
      <c r="L339" s="507" t="s">
        <v>7536</v>
      </c>
      <c r="M339" s="507" t="s">
        <v>7537</v>
      </c>
      <c r="N339" s="507" t="s">
        <v>7538</v>
      </c>
    </row>
    <row r="340" spans="1:14" x14ac:dyDescent="0.3">
      <c r="A340" s="2" t="s">
        <v>7539</v>
      </c>
      <c r="B340" s="506" t="str">
        <f t="shared" si="8"/>
        <v>Si oui, cela couvre-t-il :</v>
      </c>
      <c r="C340" s="2" t="s">
        <v>7540</v>
      </c>
      <c r="D340" s="501" t="s">
        <v>7541</v>
      </c>
      <c r="E340" s="501" t="s">
        <v>7542</v>
      </c>
      <c r="F340" s="501" t="s">
        <v>7543</v>
      </c>
      <c r="G340" s="508" t="s">
        <v>7544</v>
      </c>
      <c r="H340" s="508" t="s">
        <v>6420</v>
      </c>
      <c r="I340" s="2" t="s">
        <v>7545</v>
      </c>
      <c r="J340" s="507" t="s">
        <v>7546</v>
      </c>
      <c r="K340" s="507" t="s">
        <v>7547</v>
      </c>
      <c r="L340" s="507" t="s">
        <v>7548</v>
      </c>
      <c r="M340" s="507" t="s">
        <v>7549</v>
      </c>
      <c r="N340" s="507" t="s">
        <v>7550</v>
      </c>
    </row>
    <row r="341" spans="1:14" x14ac:dyDescent="0.3">
      <c r="A341" s="2" t="s">
        <v>7551</v>
      </c>
      <c r="B341" s="506" t="str">
        <f t="shared" si="8"/>
        <v>travail des enfants</v>
      </c>
      <c r="C341" s="2" t="s">
        <v>7552</v>
      </c>
      <c r="D341" s="501" t="s">
        <v>7553</v>
      </c>
      <c r="E341" s="501" t="s">
        <v>7554</v>
      </c>
      <c r="F341" s="501" t="s">
        <v>7555</v>
      </c>
      <c r="G341" s="508" t="s">
        <v>7556</v>
      </c>
      <c r="H341" s="508" t="s">
        <v>7557</v>
      </c>
      <c r="I341" s="2" t="s">
        <v>7558</v>
      </c>
      <c r="J341" s="507" t="s">
        <v>7559</v>
      </c>
      <c r="K341" s="507" t="s">
        <v>7560</v>
      </c>
      <c r="L341" s="507" t="s">
        <v>7561</v>
      </c>
      <c r="M341" s="507" t="s">
        <v>7562</v>
      </c>
      <c r="N341" s="507" t="s">
        <v>7563</v>
      </c>
    </row>
    <row r="342" spans="1:14" x14ac:dyDescent="0.3">
      <c r="A342" s="2" t="s">
        <v>7564</v>
      </c>
      <c r="B342" s="506" t="str">
        <f t="shared" si="8"/>
        <v>travail forcé</v>
      </c>
      <c r="C342" s="2" t="s">
        <v>7565</v>
      </c>
      <c r="D342" s="501" t="s">
        <v>7566</v>
      </c>
      <c r="E342" s="501" t="s">
        <v>7567</v>
      </c>
      <c r="F342" s="501" t="s">
        <v>7568</v>
      </c>
      <c r="G342" s="508" t="s">
        <v>7569</v>
      </c>
      <c r="H342" s="508" t="s">
        <v>7570</v>
      </c>
      <c r="I342" s="2" t="s">
        <v>7571</v>
      </c>
      <c r="J342" s="507" t="s">
        <v>7572</v>
      </c>
      <c r="K342" s="507" t="s">
        <v>7573</v>
      </c>
      <c r="L342" s="507" t="s">
        <v>7574</v>
      </c>
      <c r="M342" s="507" t="s">
        <v>7575</v>
      </c>
      <c r="N342" s="507" t="s">
        <v>7576</v>
      </c>
    </row>
    <row r="343" spans="1:14" x14ac:dyDescent="0.3">
      <c r="A343" s="2" t="s">
        <v>7577</v>
      </c>
      <c r="B343" s="506" t="str">
        <f t="shared" si="8"/>
        <v>la traite des êtres humains</v>
      </c>
      <c r="C343" s="2" t="s">
        <v>7578</v>
      </c>
      <c r="D343" s="501" t="s">
        <v>7579</v>
      </c>
      <c r="E343" s="501" t="s">
        <v>7580</v>
      </c>
      <c r="F343" s="501" t="s">
        <v>7581</v>
      </c>
      <c r="G343" s="508" t="s">
        <v>7582</v>
      </c>
      <c r="H343" s="508" t="s">
        <v>7583</v>
      </c>
      <c r="I343" s="2" t="s">
        <v>7584</v>
      </c>
      <c r="J343" s="507" t="s">
        <v>7585</v>
      </c>
      <c r="K343" s="507" t="s">
        <v>7586</v>
      </c>
      <c r="L343" s="507" t="s">
        <v>7587</v>
      </c>
      <c r="M343" s="507" t="s">
        <v>7588</v>
      </c>
      <c r="N343" s="507" t="s">
        <v>7589</v>
      </c>
    </row>
    <row r="344" spans="1:14" x14ac:dyDescent="0.3">
      <c r="A344" s="2" t="s">
        <v>7590</v>
      </c>
      <c r="B344" s="506" t="str">
        <f t="shared" si="8"/>
        <v>discrimination</v>
      </c>
      <c r="C344" s="2" t="s">
        <v>7591</v>
      </c>
      <c r="D344" s="501" t="s">
        <v>7592</v>
      </c>
      <c r="E344" s="501" t="s">
        <v>7593</v>
      </c>
      <c r="F344" s="501" t="s">
        <v>7591</v>
      </c>
      <c r="G344" s="508" t="s">
        <v>7594</v>
      </c>
      <c r="H344" s="508" t="s">
        <v>7595</v>
      </c>
      <c r="I344" s="2" t="s">
        <v>7596</v>
      </c>
      <c r="J344" s="507" t="s">
        <v>7597</v>
      </c>
      <c r="K344" s="507" t="s">
        <v>7598</v>
      </c>
      <c r="L344" s="507" t="s">
        <v>7599</v>
      </c>
      <c r="M344" s="507" t="s">
        <v>7597</v>
      </c>
      <c r="N344" s="507" t="s">
        <v>7600</v>
      </c>
    </row>
    <row r="345" spans="1:14" x14ac:dyDescent="0.3">
      <c r="A345" s="2" t="s">
        <v>7601</v>
      </c>
      <c r="B345" s="506" t="str">
        <f t="shared" si="8"/>
        <v>prévention des accidents</v>
      </c>
      <c r="C345" s="2" t="s">
        <v>7602</v>
      </c>
      <c r="D345" s="501" t="s">
        <v>7603</v>
      </c>
      <c r="E345" s="501" t="s">
        <v>7604</v>
      </c>
      <c r="F345" s="501" t="s">
        <v>7605</v>
      </c>
      <c r="G345" s="508" t="s">
        <v>7606</v>
      </c>
      <c r="H345" s="508" t="s">
        <v>7607</v>
      </c>
      <c r="I345" s="2" t="s">
        <v>7608</v>
      </c>
      <c r="J345" s="507" t="s">
        <v>7609</v>
      </c>
      <c r="K345" s="507" t="s">
        <v>7610</v>
      </c>
      <c r="L345" s="507" t="s">
        <v>7611</v>
      </c>
      <c r="M345" s="507" t="s">
        <v>7612</v>
      </c>
      <c r="N345" s="507" t="s">
        <v>7613</v>
      </c>
    </row>
    <row r="346" spans="1:14" x14ac:dyDescent="0.3">
      <c r="A346" s="2" t="s">
        <v>7614</v>
      </c>
      <c r="B346" s="506" t="str">
        <f t="shared" si="8"/>
        <v>autre ? (si oui, veuillez préciser)</v>
      </c>
      <c r="C346" s="2" t="s">
        <v>7615</v>
      </c>
      <c r="D346" s="501" t="s">
        <v>7616</v>
      </c>
      <c r="E346" s="501" t="s">
        <v>7617</v>
      </c>
      <c r="F346" s="501" t="s">
        <v>7618</v>
      </c>
      <c r="G346" s="508" t="s">
        <v>7619</v>
      </c>
      <c r="H346" s="508" t="s">
        <v>7620</v>
      </c>
      <c r="I346" s="2" t="s">
        <v>7621</v>
      </c>
      <c r="J346" s="507" t="s">
        <v>7622</v>
      </c>
      <c r="K346" s="507" t="s">
        <v>7623</v>
      </c>
      <c r="L346" s="507" t="s">
        <v>7624</v>
      </c>
      <c r="M346" s="507" t="s">
        <v>7625</v>
      </c>
      <c r="N346" s="507" t="s">
        <v>7626</v>
      </c>
    </row>
    <row r="347" spans="1:14" ht="43.2" x14ac:dyDescent="0.3">
      <c r="A347" s="2" t="s">
        <v>7627</v>
      </c>
      <c r="B347" s="506" t="str">
        <f t="shared" si="8"/>
        <v>Spécifiez d'autres types de contenus couverts par le code de conduite ou la politique en matière de droits de l'homme</v>
      </c>
      <c r="C347" s="2" t="s">
        <v>7628</v>
      </c>
      <c r="D347" s="501" t="s">
        <v>7629</v>
      </c>
      <c r="E347" s="501" t="s">
        <v>7630</v>
      </c>
      <c r="F347" s="501" t="s">
        <v>7631</v>
      </c>
      <c r="G347" s="508" t="s">
        <v>7632</v>
      </c>
      <c r="H347" s="508" t="s">
        <v>7633</v>
      </c>
      <c r="I347" s="2" t="s">
        <v>7634</v>
      </c>
      <c r="J347" s="507" t="s">
        <v>7635</v>
      </c>
      <c r="K347" s="507" t="s">
        <v>7636</v>
      </c>
      <c r="L347" s="507" t="s">
        <v>7637</v>
      </c>
      <c r="M347" s="507" t="s">
        <v>7638</v>
      </c>
      <c r="N347" s="507" t="s">
        <v>7639</v>
      </c>
    </row>
    <row r="348" spans="1:14" ht="43.8" thickBot="1" x14ac:dyDescent="0.35">
      <c r="A348" s="513" t="s">
        <v>7640</v>
      </c>
      <c r="B348" s="510" t="str">
        <f t="shared" si="8"/>
        <v>L’entreprise dispose-t-elle d’un mécanisme de traitement des plaintes pour son personnel ? </v>
      </c>
      <c r="C348" s="513" t="s">
        <v>7641</v>
      </c>
      <c r="D348" s="509" t="s">
        <v>7642</v>
      </c>
      <c r="E348" s="509" t="s">
        <v>7643</v>
      </c>
      <c r="F348" s="517" t="s">
        <v>7644</v>
      </c>
      <c r="G348" s="512" t="s">
        <v>7645</v>
      </c>
      <c r="H348" s="512" t="s">
        <v>7646</v>
      </c>
      <c r="I348" s="513" t="s">
        <v>7647</v>
      </c>
      <c r="J348" s="511" t="s">
        <v>7648</v>
      </c>
      <c r="K348" s="511" t="s">
        <v>7649</v>
      </c>
      <c r="L348" s="511" t="s">
        <v>7650</v>
      </c>
      <c r="M348" s="511" t="s">
        <v>7651</v>
      </c>
      <c r="N348" s="511" t="s">
        <v>7652</v>
      </c>
    </row>
    <row r="349" spans="1:14" ht="28.8" x14ac:dyDescent="0.3">
      <c r="A349" s="2" t="s">
        <v>7653</v>
      </c>
      <c r="B349" s="506" t="str">
        <f t="shared" si="8"/>
        <v>C7 – Incidents graves en matière de droits de l’homme</v>
      </c>
      <c r="C349" s="2" t="s">
        <v>4358</v>
      </c>
      <c r="D349" s="501" t="s">
        <v>4359</v>
      </c>
      <c r="E349" s="501" t="s">
        <v>7654</v>
      </c>
      <c r="F349" s="501" t="s">
        <v>4361</v>
      </c>
      <c r="G349" s="508" t="s">
        <v>7655</v>
      </c>
      <c r="H349" s="508" t="s">
        <v>7656</v>
      </c>
      <c r="I349" s="2" t="s">
        <v>7657</v>
      </c>
      <c r="J349" s="507" t="s">
        <v>7658</v>
      </c>
      <c r="K349" s="507" t="s">
        <v>4366</v>
      </c>
      <c r="L349" s="507" t="s">
        <v>7659</v>
      </c>
      <c r="M349" s="507" t="s">
        <v>7660</v>
      </c>
      <c r="N349" s="507" t="s">
        <v>7661</v>
      </c>
    </row>
    <row r="350" spans="1:14" ht="43.2" x14ac:dyDescent="0.3">
      <c r="A350" s="2" t="s">
        <v>7662</v>
      </c>
      <c r="B350" s="506" t="str">
        <f t="shared" si="8"/>
        <v>L'entreprise a-t-elle des incidents confirmés au sein de son personnel ?</v>
      </c>
      <c r="C350" s="2" t="s">
        <v>7663</v>
      </c>
      <c r="D350" s="501" t="s">
        <v>7664</v>
      </c>
      <c r="E350" s="501" t="s">
        <v>7665</v>
      </c>
      <c r="F350" s="501" t="s">
        <v>7666</v>
      </c>
      <c r="G350" s="508" t="s">
        <v>7667</v>
      </c>
      <c r="H350" s="508" t="s">
        <v>7668</v>
      </c>
      <c r="I350" s="2" t="s">
        <v>7669</v>
      </c>
      <c r="J350" s="507" t="s">
        <v>7670</v>
      </c>
      <c r="K350" s="507" t="s">
        <v>7671</v>
      </c>
      <c r="L350" s="507" t="s">
        <v>7672</v>
      </c>
      <c r="M350" s="507" t="s">
        <v>7673</v>
      </c>
      <c r="N350" s="507" t="s">
        <v>7674</v>
      </c>
    </row>
    <row r="351" spans="1:14" x14ac:dyDescent="0.3">
      <c r="A351" s="2" t="s">
        <v>7675</v>
      </c>
      <c r="B351" s="506" t="str">
        <f t="shared" si="8"/>
        <v>Si oui, les incidents sont-ils liés à :</v>
      </c>
      <c r="C351" s="2" t="s">
        <v>7676</v>
      </c>
      <c r="D351" s="501" t="s">
        <v>7677</v>
      </c>
      <c r="E351" s="501" t="s">
        <v>7678</v>
      </c>
      <c r="F351" s="501" t="s">
        <v>7679</v>
      </c>
      <c r="G351" s="508" t="s">
        <v>7680</v>
      </c>
      <c r="H351" s="508" t="s">
        <v>7681</v>
      </c>
      <c r="I351" s="2" t="s">
        <v>7682</v>
      </c>
      <c r="J351" s="507" t="s">
        <v>7683</v>
      </c>
      <c r="K351" s="507" t="s">
        <v>7684</v>
      </c>
      <c r="L351" s="507" t="s">
        <v>7685</v>
      </c>
      <c r="M351" s="507" t="s">
        <v>7686</v>
      </c>
      <c r="N351" s="507" t="s">
        <v>7687</v>
      </c>
    </row>
    <row r="352" spans="1:14" ht="57.6" x14ac:dyDescent="0.3">
      <c r="A352" s="2" t="s">
        <v>7688</v>
      </c>
      <c r="B352" s="506" t="str">
        <f t="shared" si="8"/>
        <v>Spécifiez d'autres droits de l’homme liés aux incidents confirmés</v>
      </c>
      <c r="C352" s="2" t="s">
        <v>7689</v>
      </c>
      <c r="D352" s="501" t="s">
        <v>7690</v>
      </c>
      <c r="E352" s="501" t="s">
        <v>7691</v>
      </c>
      <c r="F352" s="501" t="s">
        <v>7692</v>
      </c>
      <c r="G352" s="508" t="s">
        <v>7693</v>
      </c>
      <c r="H352" s="508" t="s">
        <v>7694</v>
      </c>
      <c r="I352" s="2" t="s">
        <v>7695</v>
      </c>
      <c r="J352" s="507" t="s">
        <v>7696</v>
      </c>
      <c r="K352" s="507" t="s">
        <v>7697</v>
      </c>
      <c r="L352" s="507" t="s">
        <v>7698</v>
      </c>
      <c r="M352" s="507" t="s">
        <v>7699</v>
      </c>
      <c r="N352" s="507" t="s">
        <v>7700</v>
      </c>
    </row>
    <row r="353" spans="1:14" ht="57.6" x14ac:dyDescent="0.3">
      <c r="A353" s="2" t="s">
        <v>7701</v>
      </c>
      <c r="B353" s="506" t="str">
        <f t="shared" si="8"/>
        <v>Description des actions mises en œuvre pour gérer les incidents confirmés</v>
      </c>
      <c r="C353" s="2" t="s">
        <v>7702</v>
      </c>
      <c r="D353" s="501" t="s">
        <v>7703</v>
      </c>
      <c r="E353" s="501" t="s">
        <v>7704</v>
      </c>
      <c r="F353" s="501" t="s">
        <v>7705</v>
      </c>
      <c r="G353" s="508" t="s">
        <v>7706</v>
      </c>
      <c r="H353" s="508" t="s">
        <v>7707</v>
      </c>
      <c r="I353" s="2" t="s">
        <v>7708</v>
      </c>
      <c r="J353" s="507" t="s">
        <v>7709</v>
      </c>
      <c r="K353" s="507" t="s">
        <v>7710</v>
      </c>
      <c r="L353" s="507" t="s">
        <v>7711</v>
      </c>
      <c r="M353" s="507" t="s">
        <v>7712</v>
      </c>
      <c r="N353" s="507" t="s">
        <v>7713</v>
      </c>
    </row>
    <row r="354" spans="1:14" ht="72" x14ac:dyDescent="0.3">
      <c r="A354" s="2" t="s">
        <v>7714</v>
      </c>
      <c r="B354" s="506" t="str">
        <f t="shared" si="8"/>
        <v>L’entreprise a-t-elle connaissance d’incidents confirmés impliquant des travailleurs de la chaîne de valeur, des communautés affectées, des consommateurs et des utilisateurs finaux ?</v>
      </c>
      <c r="C354" s="2" t="s">
        <v>7715</v>
      </c>
      <c r="D354" s="501" t="s">
        <v>7716</v>
      </c>
      <c r="E354" s="501" t="s">
        <v>7717</v>
      </c>
      <c r="F354" s="501" t="s">
        <v>7718</v>
      </c>
      <c r="G354" s="508" t="s">
        <v>7719</v>
      </c>
      <c r="H354" s="508" t="s">
        <v>7720</v>
      </c>
      <c r="I354" s="2" t="s">
        <v>7721</v>
      </c>
      <c r="J354" s="507" t="s">
        <v>7722</v>
      </c>
      <c r="K354" s="507" t="s">
        <v>7723</v>
      </c>
      <c r="L354" s="507" t="s">
        <v>7724</v>
      </c>
      <c r="M354" s="507" t="s">
        <v>7725</v>
      </c>
      <c r="N354" s="507" t="s">
        <v>7726</v>
      </c>
    </row>
    <row r="355" spans="1:14" ht="72.599999999999994" thickBot="1" x14ac:dyDescent="0.35">
      <c r="A355" s="513" t="s">
        <v>7727</v>
      </c>
      <c r="B355" s="510" t="str">
        <f t="shared" si="8"/>
        <v>Spécification de tout incident confirmé impliquant des travailleurs de la chaîne de valeur, des communautés affectées, des consommateurs et des utilisateurs finaux</v>
      </c>
      <c r="C355" s="513" t="s">
        <v>7728</v>
      </c>
      <c r="D355" s="509" t="s">
        <v>7729</v>
      </c>
      <c r="E355" s="509" t="s">
        <v>7730</v>
      </c>
      <c r="F355" s="509" t="s">
        <v>7731</v>
      </c>
      <c r="G355" s="512" t="s">
        <v>7732</v>
      </c>
      <c r="H355" s="512" t="s">
        <v>7733</v>
      </c>
      <c r="I355" s="513" t="s">
        <v>7734</v>
      </c>
      <c r="J355" s="511" t="s">
        <v>7735</v>
      </c>
      <c r="K355" s="511" t="s">
        <v>7736</v>
      </c>
      <c r="L355" s="511" t="s">
        <v>7737</v>
      </c>
      <c r="M355" s="511" t="s">
        <v>7738</v>
      </c>
      <c r="N355" s="511" t="s">
        <v>7739</v>
      </c>
    </row>
    <row r="356" spans="1:14" ht="57.6" x14ac:dyDescent="0.3">
      <c r="A356" s="559" t="s">
        <v>7740</v>
      </c>
      <c r="B356" s="560" t="str">
        <f t="shared" si="8"/>
        <v>Publication de toute autre information sociale et/ ou spécifique à l'entité</v>
      </c>
      <c r="C356" s="2" t="s">
        <v>7741</v>
      </c>
      <c r="D356" s="2" t="s">
        <v>7742</v>
      </c>
      <c r="E356" s="2" t="s">
        <v>7743</v>
      </c>
      <c r="F356" s="2" t="s">
        <v>7744</v>
      </c>
      <c r="G356" s="2" t="s">
        <v>7745</v>
      </c>
      <c r="H356" s="2" t="s">
        <v>7746</v>
      </c>
      <c r="I356" s="2" t="s">
        <v>7747</v>
      </c>
      <c r="J356" s="2" t="s">
        <v>7748</v>
      </c>
      <c r="K356" s="2" t="s">
        <v>7749</v>
      </c>
      <c r="L356" s="2" t="s">
        <v>7750</v>
      </c>
      <c r="M356" s="2" t="s">
        <v>7751</v>
      </c>
      <c r="N356" s="2" t="s">
        <v>7752</v>
      </c>
    </row>
    <row r="357" spans="1:14" ht="43.2" x14ac:dyDescent="0.3">
      <c r="A357" s="2" t="s">
        <v>7753</v>
      </c>
      <c r="B357" s="2" t="str">
        <f t="shared" si="8"/>
        <v>B11 – Condamnations et amendes pour corruption et pots-de-vin</v>
      </c>
      <c r="C357" s="2" t="s">
        <v>4262</v>
      </c>
      <c r="D357" s="501" t="s">
        <v>4263</v>
      </c>
      <c r="E357" s="501" t="s">
        <v>7754</v>
      </c>
      <c r="F357" s="501" t="s">
        <v>4265</v>
      </c>
      <c r="G357" s="508" t="s">
        <v>7755</v>
      </c>
      <c r="H357" s="508" t="s">
        <v>7756</v>
      </c>
      <c r="I357" s="2" t="s">
        <v>7757</v>
      </c>
      <c r="J357" s="507" t="s">
        <v>7758</v>
      </c>
      <c r="K357" s="507" t="s">
        <v>4270</v>
      </c>
      <c r="L357" s="507" t="s">
        <v>7759</v>
      </c>
      <c r="M357" s="507" t="s">
        <v>7760</v>
      </c>
      <c r="N357" s="507" t="s">
        <v>7761</v>
      </c>
    </row>
    <row r="358" spans="1:14" ht="28.8" x14ac:dyDescent="0.3">
      <c r="A358" s="2" t="s">
        <v>7762</v>
      </c>
      <c r="B358" s="2" t="str">
        <f t="shared" si="8"/>
        <v>L'entreprise a-t-elle fait l'objet de condamnations et d'amendes au cours de la période de reporting ?</v>
      </c>
      <c r="C358" s="2" t="s">
        <v>7763</v>
      </c>
      <c r="D358" s="501" t="s">
        <v>7764</v>
      </c>
      <c r="E358" s="501" t="s">
        <v>7765</v>
      </c>
      <c r="F358" s="501" t="s">
        <v>7766</v>
      </c>
      <c r="G358" s="508" t="s">
        <v>7767</v>
      </c>
      <c r="H358" s="508" t="s">
        <v>7768</v>
      </c>
      <c r="I358" s="2" t="s">
        <v>7769</v>
      </c>
      <c r="J358" s="507" t="s">
        <v>7770</v>
      </c>
      <c r="K358" s="507" t="s">
        <v>7771</v>
      </c>
      <c r="L358" s="507" t="s">
        <v>7772</v>
      </c>
      <c r="M358" s="507" t="s">
        <v>7773</v>
      </c>
      <c r="N358" s="507" t="s">
        <v>7774</v>
      </c>
    </row>
    <row r="359" spans="1:14" ht="57.6" x14ac:dyDescent="0.3">
      <c r="A359" s="2" t="s">
        <v>7775</v>
      </c>
      <c r="B359" s="2" t="str">
        <f t="shared" si="8"/>
        <v>Nombre total de condamnations pour infraction à la législation sur la lutte contre la corruption et les actes de corruption</v>
      </c>
      <c r="C359" s="2" t="s">
        <v>7776</v>
      </c>
      <c r="D359" s="501" t="s">
        <v>7777</v>
      </c>
      <c r="E359" s="501" t="s">
        <v>7778</v>
      </c>
      <c r="F359" s="501" t="s">
        <v>7779</v>
      </c>
      <c r="G359" s="508" t="s">
        <v>7780</v>
      </c>
      <c r="H359" s="508" t="s">
        <v>7781</v>
      </c>
      <c r="I359" s="2" t="s">
        <v>7782</v>
      </c>
      <c r="J359" s="507" t="s">
        <v>7783</v>
      </c>
      <c r="K359" s="507" t="s">
        <v>7784</v>
      </c>
      <c r="L359" s="507" t="s">
        <v>7785</v>
      </c>
      <c r="M359" s="507" t="s">
        <v>7786</v>
      </c>
      <c r="N359" s="507" t="s">
        <v>7787</v>
      </c>
    </row>
    <row r="360" spans="1:14" ht="58.2" thickBot="1" x14ac:dyDescent="0.35">
      <c r="A360" s="513" t="s">
        <v>7788</v>
      </c>
      <c r="B360" s="513" t="str">
        <f t="shared" si="8"/>
        <v>Montant total des amendes pour infraction à la législation sur la lutte contre la corruption et les actes de corruption</v>
      </c>
      <c r="C360" s="513" t="s">
        <v>7789</v>
      </c>
      <c r="D360" s="509" t="s">
        <v>7790</v>
      </c>
      <c r="E360" s="509" t="s">
        <v>7791</v>
      </c>
      <c r="F360" s="509" t="s">
        <v>7792</v>
      </c>
      <c r="G360" s="512" t="s">
        <v>7793</v>
      </c>
      <c r="H360" s="512" t="s">
        <v>7794</v>
      </c>
      <c r="I360" s="513" t="s">
        <v>7795</v>
      </c>
      <c r="J360" s="511" t="s">
        <v>7796</v>
      </c>
      <c r="K360" s="511" t="s">
        <v>7797</v>
      </c>
      <c r="L360" s="511" t="s">
        <v>7798</v>
      </c>
      <c r="M360" s="511" t="s">
        <v>7799</v>
      </c>
      <c r="N360" s="511" t="s">
        <v>7800</v>
      </c>
    </row>
    <row r="361" spans="1:14" x14ac:dyDescent="0.3">
      <c r="A361" s="2" t="s">
        <v>7801</v>
      </c>
      <c r="B361" s="2" t="str">
        <f t="shared" si="8"/>
        <v>C8 – Chiffre d’affaires de certains secteurs</v>
      </c>
      <c r="C361" s="2" t="s">
        <v>7802</v>
      </c>
      <c r="D361" s="501" t="s">
        <v>7803</v>
      </c>
      <c r="E361" s="501" t="s">
        <v>7804</v>
      </c>
      <c r="F361" s="501" t="s">
        <v>7805</v>
      </c>
      <c r="G361" s="508" t="s">
        <v>7806</v>
      </c>
      <c r="H361" s="508" t="s">
        <v>7807</v>
      </c>
      <c r="I361" s="2" t="s">
        <v>7808</v>
      </c>
      <c r="J361" s="507" t="s">
        <v>7809</v>
      </c>
      <c r="K361" s="507" t="s">
        <v>7810</v>
      </c>
      <c r="L361" s="507" t="s">
        <v>7811</v>
      </c>
      <c r="M361" s="507" t="s">
        <v>7812</v>
      </c>
      <c r="N361" s="507" t="s">
        <v>7813</v>
      </c>
    </row>
    <row r="362" spans="1:14" ht="28.8" x14ac:dyDescent="0.3">
      <c r="A362" s="2" t="s">
        <v>7814</v>
      </c>
      <c r="B362" s="2" t="str">
        <f t="shared" si="8"/>
        <v>L’entreprise réalise-t-elle des revenus à partir de l’une des activités listées ci-dessous ?</v>
      </c>
      <c r="C362" s="2" t="s">
        <v>7815</v>
      </c>
      <c r="D362" s="501" t="s">
        <v>7816</v>
      </c>
      <c r="E362" s="501" t="s">
        <v>7817</v>
      </c>
      <c r="F362" s="501" t="s">
        <v>7818</v>
      </c>
      <c r="G362" s="508" t="s">
        <v>7819</v>
      </c>
      <c r="H362" s="508" t="s">
        <v>7820</v>
      </c>
      <c r="I362" s="2" t="s">
        <v>7821</v>
      </c>
      <c r="J362" s="507" t="s">
        <v>7822</v>
      </c>
      <c r="K362" s="507" t="s">
        <v>7823</v>
      </c>
      <c r="L362" s="507" t="s">
        <v>7824</v>
      </c>
      <c r="M362" s="507" t="s">
        <v>7825</v>
      </c>
      <c r="N362" s="507" t="s">
        <v>7826</v>
      </c>
    </row>
    <row r="363" spans="1:14" x14ac:dyDescent="0.3">
      <c r="A363" s="2" t="s">
        <v>7827</v>
      </c>
      <c r="B363" s="2" t="str">
        <f t="shared" si="8"/>
        <v>Montant monétaire en</v>
      </c>
      <c r="C363" s="2" t="s">
        <v>7828</v>
      </c>
      <c r="D363" s="501" t="s">
        <v>7829</v>
      </c>
      <c r="E363" s="501" t="s">
        <v>7830</v>
      </c>
      <c r="F363" s="501" t="s">
        <v>7831</v>
      </c>
      <c r="G363" s="508" t="s">
        <v>4547</v>
      </c>
      <c r="H363" s="508" t="s">
        <v>7832</v>
      </c>
      <c r="I363" s="2" t="s">
        <v>7833</v>
      </c>
      <c r="J363" s="507" t="s">
        <v>7834</v>
      </c>
      <c r="K363" s="507" t="s">
        <v>7835</v>
      </c>
      <c r="L363" s="507" t="s">
        <v>7836</v>
      </c>
      <c r="M363" s="507" t="s">
        <v>7837</v>
      </c>
      <c r="N363" s="507" t="s">
        <v>7838</v>
      </c>
    </row>
    <row r="364" spans="1:14" ht="43.2" x14ac:dyDescent="0.3">
      <c r="A364" s="2" t="s">
        <v>7839</v>
      </c>
      <c r="B364" s="2" t="str">
        <f t="shared" ref="B364:B429" si="9">INDEX(C364:N364,MATCH(template_selected_display_language,$C$3:$N$3,0))</f>
        <v>Chiffre d'affaires réalisé à partir des armes controversées (mines antipersonnel, armes à sous-munitions, armes chimiques et armes biologiques)</v>
      </c>
      <c r="C364" s="2" t="s">
        <v>7840</v>
      </c>
      <c r="D364" s="501" t="s">
        <v>7841</v>
      </c>
      <c r="E364" s="501" t="s">
        <v>7842</v>
      </c>
      <c r="F364" s="501" t="s">
        <v>7843</v>
      </c>
      <c r="G364" s="508" t="s">
        <v>7844</v>
      </c>
      <c r="H364" s="508" t="s">
        <v>7845</v>
      </c>
      <c r="I364" s="2" t="s">
        <v>7846</v>
      </c>
      <c r="J364" s="507" t="s">
        <v>7847</v>
      </c>
      <c r="K364" s="507" t="s">
        <v>7848</v>
      </c>
      <c r="L364" s="507" t="s">
        <v>7849</v>
      </c>
      <c r="M364" s="507" t="s">
        <v>7850</v>
      </c>
      <c r="N364" s="507" t="s">
        <v>7851</v>
      </c>
    </row>
    <row r="365" spans="1:14" ht="43.2" x14ac:dyDescent="0.3">
      <c r="A365" s="2" t="s">
        <v>7852</v>
      </c>
      <c r="B365" s="2" t="str">
        <f t="shared" si="9"/>
        <v>Chiffre d'affaires réalisé à partir de la culture et la production de tabac</v>
      </c>
      <c r="C365" s="2" t="s">
        <v>7853</v>
      </c>
      <c r="D365" s="501" t="s">
        <v>7854</v>
      </c>
      <c r="E365" s="501" t="s">
        <v>7855</v>
      </c>
      <c r="F365" s="501" t="s">
        <v>7856</v>
      </c>
      <c r="G365" s="508" t="s">
        <v>7857</v>
      </c>
      <c r="H365" s="508" t="s">
        <v>7858</v>
      </c>
      <c r="I365" s="2" t="s">
        <v>7859</v>
      </c>
      <c r="J365" s="507" t="s">
        <v>7860</v>
      </c>
      <c r="K365" s="507" t="s">
        <v>7861</v>
      </c>
      <c r="L365" s="507" t="s">
        <v>7862</v>
      </c>
      <c r="M365" s="507" t="s">
        <v>7863</v>
      </c>
      <c r="N365" s="507" t="s">
        <v>7864</v>
      </c>
    </row>
    <row r="366" spans="1:14" x14ac:dyDescent="0.3">
      <c r="A366" s="2" t="s">
        <v>7865</v>
      </c>
      <c r="B366" s="2" t="str">
        <f t="shared" si="9"/>
        <v>Chiffre d'affaires réalisé à partir du charbon</v>
      </c>
      <c r="C366" s="2" t="s">
        <v>7866</v>
      </c>
      <c r="D366" s="501" t="s">
        <v>7867</v>
      </c>
      <c r="E366" s="501" t="s">
        <v>7868</v>
      </c>
      <c r="F366" s="501" t="s">
        <v>7869</v>
      </c>
      <c r="G366" s="508" t="s">
        <v>7870</v>
      </c>
      <c r="H366" s="508" t="s">
        <v>7871</v>
      </c>
      <c r="I366" s="2" t="s">
        <v>7872</v>
      </c>
      <c r="J366" s="507" t="s">
        <v>7873</v>
      </c>
      <c r="K366" s="507" t="s">
        <v>7874</v>
      </c>
      <c r="L366" s="507" t="s">
        <v>7875</v>
      </c>
      <c r="M366" s="507" t="s">
        <v>7876</v>
      </c>
      <c r="N366" s="507" t="s">
        <v>7877</v>
      </c>
    </row>
    <row r="367" spans="1:14" x14ac:dyDescent="0.3">
      <c r="A367" s="2" t="s">
        <v>7878</v>
      </c>
      <c r="B367" s="2" t="str">
        <f t="shared" si="9"/>
        <v>Chiffre d'affaires réalisé à partir du pétrole</v>
      </c>
      <c r="C367" s="2" t="s">
        <v>7879</v>
      </c>
      <c r="D367" s="501" t="s">
        <v>7880</v>
      </c>
      <c r="E367" s="501" t="s">
        <v>7881</v>
      </c>
      <c r="F367" s="501" t="s">
        <v>7882</v>
      </c>
      <c r="G367" s="508" t="s">
        <v>7883</v>
      </c>
      <c r="H367" s="508" t="s">
        <v>7884</v>
      </c>
      <c r="I367" s="2" t="s">
        <v>7885</v>
      </c>
      <c r="J367" s="507" t="s">
        <v>7886</v>
      </c>
      <c r="K367" s="507" t="s">
        <v>7887</v>
      </c>
      <c r="L367" s="507" t="s">
        <v>7888</v>
      </c>
      <c r="M367" s="507" t="s">
        <v>7889</v>
      </c>
      <c r="N367" s="507" t="s">
        <v>7890</v>
      </c>
    </row>
    <row r="368" spans="1:14" ht="28.8" x14ac:dyDescent="0.3">
      <c r="A368" s="2" t="s">
        <v>7891</v>
      </c>
      <c r="B368" s="2" t="str">
        <f t="shared" si="9"/>
        <v>Chiffre d'affaires réalisé à partir du gaz</v>
      </c>
      <c r="C368" s="2" t="s">
        <v>7892</v>
      </c>
      <c r="D368" s="501" t="s">
        <v>7893</v>
      </c>
      <c r="E368" s="501" t="s">
        <v>7894</v>
      </c>
      <c r="F368" s="501" t="s">
        <v>7895</v>
      </c>
      <c r="G368" s="508" t="s">
        <v>7896</v>
      </c>
      <c r="H368" s="508" t="s">
        <v>7897</v>
      </c>
      <c r="I368" s="2" t="s">
        <v>7898</v>
      </c>
      <c r="J368" s="507" t="s">
        <v>7899</v>
      </c>
      <c r="K368" s="507" t="s">
        <v>7900</v>
      </c>
      <c r="L368" s="507" t="s">
        <v>7901</v>
      </c>
      <c r="M368" s="507" t="s">
        <v>7902</v>
      </c>
      <c r="N368" s="507" t="s">
        <v>7903</v>
      </c>
    </row>
    <row r="369" spans="1:14" ht="144" x14ac:dyDescent="0.3">
      <c r="A369" s="2" t="s">
        <v>7904</v>
      </c>
      <c r="B369" s="2" t="str">
        <f t="shared" si="9"/>
        <v xml:space="preserve">	
Chiffre d'affaire total réalisé à partir du secteur des combustibles fossiles (charbon, pétrole et gaz) [c’est-à-dire qu'elle réalise un chiffre d'affaires sur la prospection, l’exploitation minière, l’extraction, la production, la transformation, le stockage, le raffinage ou la distribution, y compris le transport, l’entreposage et le commerce, de combustibles fossiles au sens de l’article 2, point 62), du règlement (UE) 2018/1999 du Parlement européen et du Conseil </v>
      </c>
      <c r="C369" s="2" t="s">
        <v>7905</v>
      </c>
      <c r="D369" s="501" t="s">
        <v>7906</v>
      </c>
      <c r="E369" s="501" t="s">
        <v>7907</v>
      </c>
      <c r="F369" s="501" t="s">
        <v>7908</v>
      </c>
      <c r="G369" s="508" t="s">
        <v>7909</v>
      </c>
      <c r="H369" s="508" t="s">
        <v>7910</v>
      </c>
      <c r="I369" s="2" t="s">
        <v>7911</v>
      </c>
      <c r="J369" s="507" t="s">
        <v>7912</v>
      </c>
      <c r="K369" s="507" t="s">
        <v>7913</v>
      </c>
      <c r="L369" s="507" t="s">
        <v>7914</v>
      </c>
      <c r="M369" s="507" t="s">
        <v>7915</v>
      </c>
      <c r="N369" s="507" t="s">
        <v>7916</v>
      </c>
    </row>
    <row r="370" spans="1:14" ht="29.4" thickBot="1" x14ac:dyDescent="0.35">
      <c r="A370" s="513" t="s">
        <v>7917</v>
      </c>
      <c r="B370" s="513" t="str">
        <f t="shared" si="9"/>
        <v>Chiffre d'affaires réalisé à partir de la production de produits chimiques</v>
      </c>
      <c r="C370" s="513" t="s">
        <v>7918</v>
      </c>
      <c r="D370" s="509" t="s">
        <v>7919</v>
      </c>
      <c r="E370" s="509" t="s">
        <v>7920</v>
      </c>
      <c r="F370" s="509" t="s">
        <v>7921</v>
      </c>
      <c r="G370" s="512" t="s">
        <v>7922</v>
      </c>
      <c r="H370" s="512" t="s">
        <v>7923</v>
      </c>
      <c r="I370" s="513" t="s">
        <v>7924</v>
      </c>
      <c r="J370" s="511" t="s">
        <v>7925</v>
      </c>
      <c r="K370" s="511" t="s">
        <v>7926</v>
      </c>
      <c r="L370" s="511" t="s">
        <v>7927</v>
      </c>
      <c r="M370" s="511" t="s">
        <v>7928</v>
      </c>
      <c r="N370" s="511" t="s">
        <v>7929</v>
      </c>
    </row>
    <row r="371" spans="1:14" ht="28.8" x14ac:dyDescent="0.3">
      <c r="A371" s="2" t="s">
        <v>7930</v>
      </c>
      <c r="B371" s="2" t="str">
        <f t="shared" si="9"/>
        <v>C8 - Exclusion des indices de référence de l’Union européenne</v>
      </c>
      <c r="C371" s="2" t="s">
        <v>7931</v>
      </c>
      <c r="D371" s="501" t="s">
        <v>7932</v>
      </c>
      <c r="E371" s="501" t="s">
        <v>7933</v>
      </c>
      <c r="F371" s="501" t="s">
        <v>7934</v>
      </c>
      <c r="G371" s="508" t="s">
        <v>7935</v>
      </c>
      <c r="H371" s="508" t="s">
        <v>7936</v>
      </c>
      <c r="I371" s="2" t="s">
        <v>7937</v>
      </c>
      <c r="J371" s="507" t="s">
        <v>7938</v>
      </c>
      <c r="K371" s="507" t="s">
        <v>7939</v>
      </c>
      <c r="L371" s="507" t="s">
        <v>7940</v>
      </c>
      <c r="M371" s="507" t="s">
        <v>7941</v>
      </c>
      <c r="N371" s="507" t="s">
        <v>7942</v>
      </c>
    </row>
    <row r="372" spans="1:14" ht="43.2" x14ac:dyDescent="0.3">
      <c r="A372" s="2" t="s">
        <v>7943</v>
      </c>
      <c r="B372" s="2" t="str">
        <f t="shared" si="9"/>
        <v>Les entreprises sont exclues des indices de référence « accord de Paris » de l'Union européenne si elles tirent :</v>
      </c>
      <c r="C372" s="2" t="s">
        <v>7944</v>
      </c>
      <c r="D372" s="501" t="s">
        <v>7945</v>
      </c>
      <c r="E372" s="501" t="s">
        <v>7946</v>
      </c>
      <c r="F372" s="501" t="s">
        <v>7947</v>
      </c>
      <c r="G372" s="508" t="s">
        <v>7948</v>
      </c>
      <c r="H372" s="508" t="s">
        <v>7949</v>
      </c>
      <c r="I372" s="2" t="s">
        <v>7950</v>
      </c>
      <c r="J372" s="507" t="s">
        <v>7951</v>
      </c>
      <c r="K372" s="507" t="s">
        <v>7952</v>
      </c>
      <c r="L372" s="507" t="s">
        <v>7953</v>
      </c>
      <c r="M372" s="507" t="s">
        <v>7954</v>
      </c>
      <c r="N372" s="507" t="s">
        <v>7955</v>
      </c>
    </row>
    <row r="373" spans="1:14" ht="43.2" x14ac:dyDescent="0.3">
      <c r="A373" s="2" t="s">
        <v>7956</v>
      </c>
      <c r="B373" s="2" t="str">
        <f t="shared" si="9"/>
        <v>au moins 1 % de leur chiffre d’affaires de la prospection, de l'extraction, de la distribution ou du raffinage de houille et de lignite</v>
      </c>
      <c r="C373" s="2" t="s">
        <v>7957</v>
      </c>
      <c r="D373" s="501" t="s">
        <v>7958</v>
      </c>
      <c r="E373" s="501" t="s">
        <v>7959</v>
      </c>
      <c r="F373" s="501" t="s">
        <v>7960</v>
      </c>
      <c r="G373" s="508" t="s">
        <v>7961</v>
      </c>
      <c r="H373" s="508" t="s">
        <v>7962</v>
      </c>
      <c r="I373" s="2" t="s">
        <v>7963</v>
      </c>
      <c r="J373" s="507" t="s">
        <v>7964</v>
      </c>
      <c r="K373" s="507" t="s">
        <v>7965</v>
      </c>
      <c r="L373" s="507" t="s">
        <v>7966</v>
      </c>
      <c r="M373" s="507" t="s">
        <v>7967</v>
      </c>
      <c r="N373" s="507" t="s">
        <v>7968</v>
      </c>
    </row>
    <row r="374" spans="1:14" ht="72" x14ac:dyDescent="0.3">
      <c r="A374" s="2" t="s">
        <v>7969</v>
      </c>
      <c r="B374" s="2" t="str">
        <f t="shared" si="9"/>
        <v>au moins 10 % de leur chiffre d’affaires de la prospection, de l'extraction, de la distribution ou du raffinage de combustibles liquides</v>
      </c>
      <c r="C374" s="2" t="s">
        <v>7970</v>
      </c>
      <c r="D374" s="501" t="s">
        <v>7971</v>
      </c>
      <c r="E374" s="501" t="s">
        <v>7972</v>
      </c>
      <c r="F374" s="501" t="s">
        <v>7973</v>
      </c>
      <c r="G374" s="508" t="s">
        <v>7974</v>
      </c>
      <c r="H374" s="508" t="s">
        <v>7975</v>
      </c>
      <c r="I374" s="2" t="s">
        <v>7976</v>
      </c>
      <c r="J374" s="507" t="s">
        <v>7977</v>
      </c>
      <c r="K374" s="507" t="s">
        <v>7978</v>
      </c>
      <c r="L374" s="507" t="s">
        <v>7979</v>
      </c>
      <c r="M374" s="507" t="s">
        <v>7980</v>
      </c>
      <c r="N374" s="507" t="s">
        <v>7981</v>
      </c>
    </row>
    <row r="375" spans="1:14" ht="72" x14ac:dyDescent="0.3">
      <c r="A375" s="2" t="s">
        <v>7982</v>
      </c>
      <c r="B375" s="2" t="str">
        <f t="shared" si="9"/>
        <v>au moins 50 % de leur chiffre d’affaires de la prospection, de l'extraction, de la fabrication ou de la distribution de combustibles gazeux</v>
      </c>
      <c r="C375" s="2" t="s">
        <v>7983</v>
      </c>
      <c r="D375" s="501" t="s">
        <v>7984</v>
      </c>
      <c r="E375" s="501" t="s">
        <v>7985</v>
      </c>
      <c r="F375" s="501" t="s">
        <v>7986</v>
      </c>
      <c r="G375" s="508" t="s">
        <v>7987</v>
      </c>
      <c r="H375" s="508" t="s">
        <v>7988</v>
      </c>
      <c r="I375" s="2" t="s">
        <v>7989</v>
      </c>
      <c r="J375" s="507" t="s">
        <v>7990</v>
      </c>
      <c r="K375" s="507" t="s">
        <v>7991</v>
      </c>
      <c r="L375" s="507" t="s">
        <v>7992</v>
      </c>
      <c r="M375" s="507" t="s">
        <v>7993</v>
      </c>
      <c r="N375" s="507" t="s">
        <v>7994</v>
      </c>
    </row>
    <row r="376" spans="1:14" ht="72" x14ac:dyDescent="0.3">
      <c r="A376" s="2" t="s">
        <v>7995</v>
      </c>
      <c r="B376" s="2" t="str">
        <f t="shared" si="9"/>
        <v>au moins 50 % de leur chiffre d’affaires d’activités de production d'électricité présentant une intensité d’émission de GES supérieure à 100 g CO₂e/kWh</v>
      </c>
      <c r="C376" s="2" t="s">
        <v>7996</v>
      </c>
      <c r="D376" s="501" t="s">
        <v>7997</v>
      </c>
      <c r="E376" s="501" t="s">
        <v>7998</v>
      </c>
      <c r="F376" s="501" t="s">
        <v>7999</v>
      </c>
      <c r="G376" s="508" t="s">
        <v>8000</v>
      </c>
      <c r="H376" s="508" t="s">
        <v>8001</v>
      </c>
      <c r="I376" s="2" t="s">
        <v>8002</v>
      </c>
      <c r="J376" s="507" t="s">
        <v>8003</v>
      </c>
      <c r="K376" s="507" t="s">
        <v>8004</v>
      </c>
      <c r="L376" s="507" t="s">
        <v>8005</v>
      </c>
      <c r="M376" s="507" t="s">
        <v>8006</v>
      </c>
      <c r="N376" s="507" t="s">
        <v>8007</v>
      </c>
    </row>
    <row r="377" spans="1:14" ht="28.8" x14ac:dyDescent="0.3">
      <c r="A377" s="2" t="s">
        <v>8008</v>
      </c>
      <c r="B377" s="2" t="str">
        <f t="shared" si="9"/>
        <v>Aucun des éléments ci-dessus</v>
      </c>
      <c r="C377" s="2" t="s">
        <v>8009</v>
      </c>
      <c r="D377" s="501" t="s">
        <v>8010</v>
      </c>
      <c r="E377" s="501" t="s">
        <v>8011</v>
      </c>
      <c r="F377" s="501" t="s">
        <v>8012</v>
      </c>
      <c r="G377" s="508" t="s">
        <v>8013</v>
      </c>
      <c r="H377" s="508" t="s">
        <v>8014</v>
      </c>
      <c r="I377" s="2" t="s">
        <v>8015</v>
      </c>
      <c r="J377" s="507" t="s">
        <v>8016</v>
      </c>
      <c r="K377" s="507" t="s">
        <v>8017</v>
      </c>
      <c r="L377" s="507" t="s">
        <v>8018</v>
      </c>
      <c r="M377" s="507" t="s">
        <v>8019</v>
      </c>
      <c r="N377" s="507" t="s">
        <v>8020</v>
      </c>
    </row>
    <row r="378" spans="1:14" ht="58.2" thickBot="1" x14ac:dyDescent="0.35">
      <c r="A378" s="513" t="s">
        <v>8021</v>
      </c>
      <c r="B378" s="513" t="str">
        <f t="shared" si="9"/>
        <v>Les entreprises sont exclues des indices de référence « accord de Paris » de l’Union européenne</v>
      </c>
      <c r="C378" s="513" t="s">
        <v>8022</v>
      </c>
      <c r="D378" s="509" t="s">
        <v>8023</v>
      </c>
      <c r="E378" s="509" t="s">
        <v>8024</v>
      </c>
      <c r="F378" s="509" t="s">
        <v>8025</v>
      </c>
      <c r="G378" s="512" t="s">
        <v>8026</v>
      </c>
      <c r="H378" s="512" t="s">
        <v>8027</v>
      </c>
      <c r="I378" s="513" t="s">
        <v>8028</v>
      </c>
      <c r="J378" s="511" t="s">
        <v>8029</v>
      </c>
      <c r="K378" s="511" t="s">
        <v>8030</v>
      </c>
      <c r="L378" s="511" t="s">
        <v>8031</v>
      </c>
      <c r="M378" s="511" t="s">
        <v>8032</v>
      </c>
      <c r="N378" s="511" t="s">
        <v>8033</v>
      </c>
    </row>
    <row r="379" spans="1:14" ht="72" x14ac:dyDescent="0.3">
      <c r="A379" s="2" t="s">
        <v>8034</v>
      </c>
      <c r="B379" s="2" t="str">
        <f t="shared" si="9"/>
        <v>C9 – Ratio de mixité au sein de l’organe de gouvernance</v>
      </c>
      <c r="C379" s="2" t="s">
        <v>4384</v>
      </c>
      <c r="D379" s="501" t="s">
        <v>4385</v>
      </c>
      <c r="E379" s="501" t="s">
        <v>8035</v>
      </c>
      <c r="F379" s="501" t="s">
        <v>4387</v>
      </c>
      <c r="G379" s="508" t="s">
        <v>8036</v>
      </c>
      <c r="H379" s="508" t="s">
        <v>8037</v>
      </c>
      <c r="I379" s="2" t="s">
        <v>8038</v>
      </c>
      <c r="J379" s="507" t="s">
        <v>8039</v>
      </c>
      <c r="K379" s="507" t="s">
        <v>8040</v>
      </c>
      <c r="L379" s="507" t="s">
        <v>8041</v>
      </c>
      <c r="M379" s="507" t="s">
        <v>8042</v>
      </c>
      <c r="N379" s="507" t="s">
        <v>4395</v>
      </c>
    </row>
    <row r="380" spans="1:14" ht="43.2" x14ac:dyDescent="0.3">
      <c r="A380" s="2" t="s">
        <v>8043</v>
      </c>
      <c r="B380" s="2" t="str">
        <f t="shared" si="9"/>
        <v>L'entreprise dispose-t-elle d'un organe de gouvernance ?</v>
      </c>
      <c r="C380" s="2" t="s">
        <v>8044</v>
      </c>
      <c r="D380" s="501" t="s">
        <v>8045</v>
      </c>
      <c r="E380" s="501" t="s">
        <v>8046</v>
      </c>
      <c r="F380" s="501" t="s">
        <v>8047</v>
      </c>
      <c r="G380" s="508" t="s">
        <v>8048</v>
      </c>
      <c r="H380" s="508" t="s">
        <v>8049</v>
      </c>
      <c r="I380" s="2" t="s">
        <v>8050</v>
      </c>
      <c r="J380" s="507" t="s">
        <v>8051</v>
      </c>
      <c r="K380" s="507" t="s">
        <v>8052</v>
      </c>
      <c r="L380" s="507" t="s">
        <v>8053</v>
      </c>
      <c r="M380" s="507" t="s">
        <v>8054</v>
      </c>
      <c r="N380" s="507" t="s">
        <v>8055</v>
      </c>
    </row>
    <row r="381" spans="1:14" ht="57.6" x14ac:dyDescent="0.3">
      <c r="A381" s="2" t="s">
        <v>8056</v>
      </c>
      <c r="B381" s="2" t="str">
        <f t="shared" si="9"/>
        <v>Nombre de femmes membres du conseil d'administration à la fin de la période de reporting</v>
      </c>
      <c r="C381" s="2" t="s">
        <v>8057</v>
      </c>
      <c r="D381" s="501" t="s">
        <v>8058</v>
      </c>
      <c r="E381" s="501" t="s">
        <v>8059</v>
      </c>
      <c r="F381" s="501" t="s">
        <v>8060</v>
      </c>
      <c r="G381" s="508" t="s">
        <v>8061</v>
      </c>
      <c r="H381" s="508" t="s">
        <v>8062</v>
      </c>
      <c r="I381" s="2" t="s">
        <v>8063</v>
      </c>
      <c r="J381" s="507" t="s">
        <v>8064</v>
      </c>
      <c r="K381" s="507" t="s">
        <v>8065</v>
      </c>
      <c r="L381" s="507" t="s">
        <v>8066</v>
      </c>
      <c r="M381" s="507" t="s">
        <v>8067</v>
      </c>
      <c r="N381" s="507" t="s">
        <v>8068</v>
      </c>
    </row>
    <row r="382" spans="1:14" ht="28.8" x14ac:dyDescent="0.3">
      <c r="A382" s="2" t="s">
        <v>8069</v>
      </c>
      <c r="B382" s="2" t="str">
        <f t="shared" si="9"/>
        <v>Nombre d'hommes membres du conseil d'administration à la fin de la période de reporting</v>
      </c>
      <c r="C382" s="2" t="s">
        <v>8070</v>
      </c>
      <c r="D382" s="501" t="s">
        <v>8071</v>
      </c>
      <c r="E382" s="501" t="s">
        <v>8072</v>
      </c>
      <c r="F382" s="501" t="s">
        <v>8073</v>
      </c>
      <c r="G382" s="508" t="s">
        <v>8074</v>
      </c>
      <c r="H382" s="508" t="s">
        <v>8075</v>
      </c>
      <c r="I382" s="2" t="s">
        <v>8076</v>
      </c>
      <c r="J382" s="507" t="s">
        <v>8077</v>
      </c>
      <c r="K382" s="507" t="s">
        <v>8078</v>
      </c>
      <c r="L382" s="507" t="s">
        <v>8079</v>
      </c>
      <c r="M382" s="507" t="s">
        <v>8080</v>
      </c>
      <c r="N382" s="507" t="s">
        <v>8081</v>
      </c>
    </row>
    <row r="383" spans="1:14" ht="29.4" thickBot="1" x14ac:dyDescent="0.35">
      <c r="A383" s="513" t="s">
        <v>8082</v>
      </c>
      <c r="B383" s="513" t="str">
        <f t="shared" si="9"/>
        <v>Ratio de mixité au sein de l’organe de gouvernance</v>
      </c>
      <c r="C383" s="513" t="s">
        <v>8083</v>
      </c>
      <c r="D383" s="509" t="s">
        <v>8084</v>
      </c>
      <c r="E383" s="509" t="s">
        <v>8085</v>
      </c>
      <c r="F383" s="509" t="s">
        <v>8086</v>
      </c>
      <c r="G383" s="512" t="s">
        <v>8087</v>
      </c>
      <c r="H383" s="512" t="s">
        <v>8088</v>
      </c>
      <c r="I383" s="513" t="s">
        <v>8038</v>
      </c>
      <c r="J383" s="511" t="s">
        <v>8089</v>
      </c>
      <c r="K383" s="511" t="s">
        <v>8090</v>
      </c>
      <c r="L383" s="511" t="s">
        <v>8091</v>
      </c>
      <c r="M383" s="511" t="s">
        <v>8092</v>
      </c>
      <c r="N383" s="511" t="s">
        <v>8093</v>
      </c>
    </row>
    <row r="384" spans="1:14" ht="43.2" x14ac:dyDescent="0.3">
      <c r="A384" s="559" t="s">
        <v>8094</v>
      </c>
      <c r="B384" s="559" t="str">
        <f t="shared" si="9"/>
        <v>Publication de toute autre information de gouvernance et/ ou spécifique à l'entité</v>
      </c>
      <c r="C384" s="2" t="s">
        <v>8095</v>
      </c>
      <c r="D384" s="2" t="s">
        <v>8096</v>
      </c>
      <c r="E384" s="2" t="s">
        <v>8097</v>
      </c>
      <c r="F384" s="2" t="s">
        <v>8098</v>
      </c>
      <c r="G384" s="2" t="s">
        <v>8099</v>
      </c>
      <c r="H384" s="2" t="s">
        <v>8100</v>
      </c>
      <c r="I384" s="2" t="s">
        <v>8101</v>
      </c>
      <c r="J384" s="2" t="s">
        <v>8102</v>
      </c>
      <c r="K384" s="2" t="s">
        <v>8103</v>
      </c>
      <c r="L384" s="2" t="s">
        <v>8104</v>
      </c>
      <c r="M384" s="2" t="s">
        <v>8105</v>
      </c>
      <c r="N384" s="2" t="s">
        <v>8106</v>
      </c>
    </row>
    <row r="385" spans="1:14" x14ac:dyDescent="0.3">
      <c r="A385" s="2" t="s">
        <v>8107</v>
      </c>
      <c r="B385" s="2" t="str">
        <f t="shared" si="9"/>
        <v>CONVERTISSEUR DE CARBURANT</v>
      </c>
      <c r="C385" s="2" t="s">
        <v>8108</v>
      </c>
      <c r="D385" s="501" t="s">
        <v>8109</v>
      </c>
      <c r="E385" s="501" t="s">
        <v>8110</v>
      </c>
      <c r="F385" s="501" t="s">
        <v>8111</v>
      </c>
      <c r="G385" s="508" t="s">
        <v>8112</v>
      </c>
      <c r="H385" s="508" t="s">
        <v>8113</v>
      </c>
      <c r="I385" s="2" t="s">
        <v>8114</v>
      </c>
      <c r="J385" s="507" t="s">
        <v>8115</v>
      </c>
      <c r="K385" s="507" t="s">
        <v>8116</v>
      </c>
      <c r="L385" s="507" t="s">
        <v>8117</v>
      </c>
      <c r="M385" s="507" t="s">
        <v>8118</v>
      </c>
      <c r="N385" s="507" t="s">
        <v>8119</v>
      </c>
    </row>
    <row r="386" spans="1:14" ht="43.2" x14ac:dyDescent="0.3">
      <c r="A386" s="2" t="s">
        <v>8120</v>
      </c>
      <c r="B386" s="2" t="str">
        <f t="shared" si="9"/>
        <v>AVERTISSEMENT :</v>
      </c>
      <c r="C386" s="2" t="s">
        <v>8121</v>
      </c>
      <c r="D386" s="501" t="s">
        <v>8122</v>
      </c>
      <c r="E386" s="501" t="s">
        <v>8123</v>
      </c>
      <c r="F386" s="501" t="s">
        <v>8124</v>
      </c>
      <c r="G386" s="508" t="s">
        <v>8125</v>
      </c>
      <c r="H386" s="508" t="s">
        <v>8126</v>
      </c>
      <c r="I386" s="2" t="s">
        <v>8127</v>
      </c>
      <c r="J386" s="507" t="s">
        <v>8128</v>
      </c>
      <c r="K386" s="507" t="s">
        <v>8129</v>
      </c>
      <c r="L386" s="507" t="s">
        <v>8130</v>
      </c>
      <c r="M386" s="507" t="s">
        <v>8131</v>
      </c>
      <c r="N386" s="507" t="s">
        <v>8132</v>
      </c>
    </row>
    <row r="387" spans="1:14" ht="115.2" x14ac:dyDescent="0.3">
      <c r="A387" s="2" t="s">
        <v>8133</v>
      </c>
      <c r="B387" s="2" t="str">
        <f t="shared" si="9"/>
        <v>Ce convertisseur est destiné uniquement à illustrer comment la consommation d'énergie (en MWh) peut être calculée à partir de différents types de combustibles. L'EFRAG décline toute responsabilité quant à son contenu ou aux conséquences ou dommages directs, indirects ou accessoires résultant de l’utilisation de ce convertisseur de carburant.</v>
      </c>
      <c r="C387" s="2" t="s">
        <v>8134</v>
      </c>
      <c r="D387" s="501" t="s">
        <v>8135</v>
      </c>
      <c r="E387" s="501" t="s">
        <v>8136</v>
      </c>
      <c r="F387" s="501" t="s">
        <v>8137</v>
      </c>
      <c r="G387" s="508" t="s">
        <v>8138</v>
      </c>
      <c r="H387" s="508" t="s">
        <v>8139</v>
      </c>
      <c r="I387" s="2" t="s">
        <v>8140</v>
      </c>
      <c r="J387" s="507" t="s">
        <v>8141</v>
      </c>
      <c r="K387" s="507" t="s">
        <v>8142</v>
      </c>
      <c r="L387" s="507" t="s">
        <v>8143</v>
      </c>
      <c r="M387" s="507" t="s">
        <v>8144</v>
      </c>
      <c r="N387" s="507" t="s">
        <v>8145</v>
      </c>
    </row>
    <row r="388" spans="1:14" ht="144" x14ac:dyDescent="0.3">
      <c r="A388" s="2" t="s">
        <v>8146</v>
      </c>
      <c r="B388" s="2" t="str">
        <f t="shared" si="9"/>
        <v>Veuillez noter que les valeurs usuelles du pouvoir calorifique net (PCN) et de la densité sont fournies pour chaque type de combustible. Toutefois, ces paramètres peuvent varier en fonction de facteurs tels que les réglementations nationales, les caractéristiques spécifiques des fournisseurs de combustibles ou d’autres circonstances. Il appartient donc aux utilisateurs de saisir ou d’ajuster manuellement les valeurs de PCN et de densité afin de refléter leur situation spécifique.</v>
      </c>
      <c r="C388" s="2" t="s">
        <v>8147</v>
      </c>
      <c r="D388" s="501" t="s">
        <v>8148</v>
      </c>
      <c r="E388" s="501" t="s">
        <v>8149</v>
      </c>
      <c r="F388" s="501" t="s">
        <v>8150</v>
      </c>
      <c r="G388" s="508" t="s">
        <v>8151</v>
      </c>
      <c r="H388" s="508" t="s">
        <v>8152</v>
      </c>
      <c r="I388" s="2" t="s">
        <v>8153</v>
      </c>
      <c r="J388" s="507" t="s">
        <v>8154</v>
      </c>
      <c r="K388" s="507" t="s">
        <v>8155</v>
      </c>
      <c r="L388" s="507" t="s">
        <v>8156</v>
      </c>
      <c r="M388" s="507" t="s">
        <v>8157</v>
      </c>
      <c r="N388" s="507" t="s">
        <v>8158</v>
      </c>
    </row>
    <row r="389" spans="1:14" ht="129.6" x14ac:dyDescent="0.3">
      <c r="A389" s="2" t="s">
        <v>8159</v>
      </c>
      <c r="B389" s="2" t="str">
        <f t="shared" si="9"/>
        <v>De plus, les utilisateurs sont encouragés à déterminer le caractère renouvelable de chaque combustible sur la base des garanties d’origine, conformément à l’article 19 de la directive (UE) 2018/2001 relative à la promotion de l’utilisation de l’énergie produite à partir de sources renouvelables. Le caractère renouvelable indiqué par défaut pour chaque combustible correspond à une hypothèse usuelle et doit, le cas échéant, être ajusté en fonction de la situation géographique ou des circonstances particulières.</v>
      </c>
      <c r="C389" s="2" t="s">
        <v>8160</v>
      </c>
      <c r="D389" s="501" t="s">
        <v>8161</v>
      </c>
      <c r="E389" s="501" t="s">
        <v>8162</v>
      </c>
      <c r="F389" s="501" t="s">
        <v>8163</v>
      </c>
      <c r="G389" s="508" t="s">
        <v>8164</v>
      </c>
      <c r="H389" s="508" t="s">
        <v>8165</v>
      </c>
      <c r="I389" s="2" t="s">
        <v>8166</v>
      </c>
      <c r="J389" s="507" t="s">
        <v>8167</v>
      </c>
      <c r="K389" s="507" t="s">
        <v>8168</v>
      </c>
      <c r="L389" s="507" t="s">
        <v>8169</v>
      </c>
      <c r="M389" s="507" t="s">
        <v>8170</v>
      </c>
      <c r="N389" s="507" t="s">
        <v>8171</v>
      </c>
    </row>
    <row r="390" spans="1:14" ht="57.6" x14ac:dyDescent="0.3">
      <c r="A390" s="2" t="s">
        <v>8172</v>
      </c>
      <c r="B390" s="2" t="str">
        <f t="shared" si="9"/>
        <v>Indique que la cellule doit être remplie soit en sélectionnant une valeur dans la liste déroulante (par exemple, le type de carburant ou l’unité de mesure), soit en saisissant un montant.</v>
      </c>
      <c r="C390" s="2" t="s">
        <v>8173</v>
      </c>
      <c r="D390" s="501" t="s">
        <v>8174</v>
      </c>
      <c r="E390" s="501" t="s">
        <v>8175</v>
      </c>
      <c r="F390" s="501" t="s">
        <v>8176</v>
      </c>
      <c r="G390" s="508" t="s">
        <v>8177</v>
      </c>
      <c r="H390" s="508" t="s">
        <v>8178</v>
      </c>
      <c r="I390" s="2" t="s">
        <v>8179</v>
      </c>
      <c r="J390" s="507" t="s">
        <v>8180</v>
      </c>
      <c r="K390" s="507" t="s">
        <v>8181</v>
      </c>
      <c r="L390" s="507" t="s">
        <v>8182</v>
      </c>
      <c r="M390" s="507" t="s">
        <v>8183</v>
      </c>
      <c r="N390" s="507" t="s">
        <v>8184</v>
      </c>
    </row>
    <row r="391" spans="1:14" x14ac:dyDescent="0.3">
      <c r="A391" s="2" t="s">
        <v>8185</v>
      </c>
      <c r="B391" s="2" t="str">
        <f t="shared" si="9"/>
        <v>Type de carburant</v>
      </c>
      <c r="C391" s="2" t="s">
        <v>8186</v>
      </c>
      <c r="D391" s="501" t="s">
        <v>8187</v>
      </c>
      <c r="E391" s="501" t="s">
        <v>8188</v>
      </c>
      <c r="F391" s="501" t="s">
        <v>8189</v>
      </c>
      <c r="G391" s="508" t="s">
        <v>8190</v>
      </c>
      <c r="H391" s="508" t="s">
        <v>8191</v>
      </c>
      <c r="I391" s="2" t="s">
        <v>8192</v>
      </c>
      <c r="J391" s="507" t="s">
        <v>8193</v>
      </c>
      <c r="K391" s="507" t="s">
        <v>8194</v>
      </c>
      <c r="L391" s="507" t="s">
        <v>8195</v>
      </c>
      <c r="M391" s="507" t="s">
        <v>8196</v>
      </c>
      <c r="N391" s="507" t="s">
        <v>8197</v>
      </c>
    </row>
    <row r="392" spans="1:14" x14ac:dyDescent="0.3">
      <c r="A392" s="2" t="s">
        <v>8198</v>
      </c>
      <c r="B392" s="2" t="str">
        <f t="shared" si="9"/>
        <v>Montant</v>
      </c>
      <c r="C392" s="2" t="s">
        <v>94</v>
      </c>
      <c r="D392" s="501" t="s">
        <v>8199</v>
      </c>
      <c r="E392" s="501" t="s">
        <v>8200</v>
      </c>
      <c r="F392" s="501" t="s">
        <v>8201</v>
      </c>
      <c r="G392" s="508" t="s">
        <v>8202</v>
      </c>
      <c r="H392" s="508" t="s">
        <v>8203</v>
      </c>
      <c r="I392" s="2" t="s">
        <v>8204</v>
      </c>
      <c r="J392" s="507" t="s">
        <v>8205</v>
      </c>
      <c r="K392" s="507" t="s">
        <v>8206</v>
      </c>
      <c r="L392" s="507" t="s">
        <v>8207</v>
      </c>
      <c r="M392" s="507" t="s">
        <v>8208</v>
      </c>
      <c r="N392" s="507" t="s">
        <v>8209</v>
      </c>
    </row>
    <row r="393" spans="1:14" x14ac:dyDescent="0.3">
      <c r="A393" s="2" t="s">
        <v>8210</v>
      </c>
      <c r="B393" s="2" t="str">
        <f t="shared" si="9"/>
        <v>État de la matière</v>
      </c>
      <c r="C393" s="2" t="s">
        <v>91</v>
      </c>
      <c r="D393" s="501" t="s">
        <v>8211</v>
      </c>
      <c r="E393" s="501" t="s">
        <v>8212</v>
      </c>
      <c r="F393" s="501" t="s">
        <v>8213</v>
      </c>
      <c r="G393" s="508" t="s">
        <v>8214</v>
      </c>
      <c r="H393" s="508" t="s">
        <v>8215</v>
      </c>
      <c r="I393" s="2" t="s">
        <v>8216</v>
      </c>
      <c r="J393" s="507" t="s">
        <v>8217</v>
      </c>
      <c r="K393" s="507" t="s">
        <v>8218</v>
      </c>
      <c r="L393" s="507" t="s">
        <v>8219</v>
      </c>
      <c r="M393" s="507" t="s">
        <v>8220</v>
      </c>
      <c r="N393" s="507" t="s">
        <v>8221</v>
      </c>
    </row>
    <row r="394" spans="1:14" x14ac:dyDescent="0.3">
      <c r="A394" s="2" t="s">
        <v>8222</v>
      </c>
      <c r="B394" s="2" t="str">
        <f t="shared" si="9"/>
        <v>État renouvelable type</v>
      </c>
      <c r="C394" s="2" t="s">
        <v>8223</v>
      </c>
      <c r="D394" s="501" t="s">
        <v>8224</v>
      </c>
      <c r="E394" s="501" t="s">
        <v>8225</v>
      </c>
      <c r="F394" s="501" t="s">
        <v>8226</v>
      </c>
      <c r="G394" s="508" t="s">
        <v>8227</v>
      </c>
      <c r="H394" s="508" t="s">
        <v>8228</v>
      </c>
      <c r="I394" s="2" t="s">
        <v>8229</v>
      </c>
      <c r="J394" s="507" t="s">
        <v>8230</v>
      </c>
      <c r="K394" s="507" t="s">
        <v>8231</v>
      </c>
      <c r="L394" s="507" t="s">
        <v>8232</v>
      </c>
      <c r="M394" s="507" t="s">
        <v>8233</v>
      </c>
      <c r="N394" s="507" t="s">
        <v>8234</v>
      </c>
    </row>
    <row r="395" spans="1:14" x14ac:dyDescent="0.3">
      <c r="A395" s="2" t="s">
        <v>8235</v>
      </c>
      <c r="B395" s="2" t="str">
        <f t="shared" si="9"/>
        <v>Énergie calculée en MWh</v>
      </c>
      <c r="C395" s="2" t="s">
        <v>8236</v>
      </c>
      <c r="D395" s="501" t="s">
        <v>8237</v>
      </c>
      <c r="E395" s="501" t="s">
        <v>8238</v>
      </c>
      <c r="F395" s="501" t="s">
        <v>8239</v>
      </c>
      <c r="G395" s="508" t="s">
        <v>8240</v>
      </c>
      <c r="H395" s="508" t="s">
        <v>8241</v>
      </c>
      <c r="I395" s="2" t="s">
        <v>8242</v>
      </c>
      <c r="J395" s="507" t="s">
        <v>8243</v>
      </c>
      <c r="K395" s="507" t="s">
        <v>8244</v>
      </c>
      <c r="L395" s="507" t="s">
        <v>8245</v>
      </c>
      <c r="M395" s="507" t="s">
        <v>8246</v>
      </c>
      <c r="N395" s="507" t="s">
        <v>8247</v>
      </c>
    </row>
    <row r="396" spans="1:14" x14ac:dyDescent="0.3">
      <c r="A396" s="2" t="s">
        <v>8248</v>
      </c>
      <c r="B396" s="2" t="str">
        <f t="shared" si="9"/>
        <v>Utilisation du convertisseur de carburant :</v>
      </c>
      <c r="C396" s="2" t="s">
        <v>8249</v>
      </c>
      <c r="D396" s="501" t="s">
        <v>8250</v>
      </c>
      <c r="E396" s="501" t="s">
        <v>8251</v>
      </c>
      <c r="F396" s="501" t="s">
        <v>8252</v>
      </c>
      <c r="G396" s="508" t="s">
        <v>8253</v>
      </c>
      <c r="H396" s="508" t="s">
        <v>8254</v>
      </c>
      <c r="I396" s="2" t="s">
        <v>8255</v>
      </c>
      <c r="J396" s="507" t="s">
        <v>8256</v>
      </c>
      <c r="K396" s="507" t="s">
        <v>8257</v>
      </c>
      <c r="L396" s="507" t="s">
        <v>8258</v>
      </c>
      <c r="M396" s="507" t="s">
        <v>8259</v>
      </c>
      <c r="N396" s="507" t="s">
        <v>8260</v>
      </c>
    </row>
    <row r="397" spans="1:14" ht="72" x14ac:dyDescent="0.3">
      <c r="A397" s="2" t="s">
        <v>8261</v>
      </c>
      <c r="B397" s="2" t="str">
        <f t="shared" si="9"/>
        <v>1. Dans la cellule A10, sélectionnez le carburant utilisé, en le recherchant ou en faisant défiler la liste affichée et en cliquant sur la cellule.</v>
      </c>
      <c r="C397" s="2" t="s">
        <v>8262</v>
      </c>
      <c r="D397" s="501" t="s">
        <v>8263</v>
      </c>
      <c r="E397" s="501" t="s">
        <v>8264</v>
      </c>
      <c r="F397" s="501" t="s">
        <v>8265</v>
      </c>
      <c r="G397" s="508" t="s">
        <v>8266</v>
      </c>
      <c r="H397" s="508" t="s">
        <v>8267</v>
      </c>
      <c r="I397" s="2" t="s">
        <v>8268</v>
      </c>
      <c r="J397" s="507" t="s">
        <v>8269</v>
      </c>
      <c r="K397" s="507" t="s">
        <v>8270</v>
      </c>
      <c r="L397" s="507" t="s">
        <v>8271</v>
      </c>
      <c r="M397" s="507" t="s">
        <v>8272</v>
      </c>
      <c r="N397" s="507" t="s">
        <v>8273</v>
      </c>
    </row>
    <row r="398" spans="1:14" ht="28.8" x14ac:dyDescent="0.3">
      <c r="A398" s="2" t="s">
        <v>8274</v>
      </c>
      <c r="B398" s="2" t="str">
        <f t="shared" si="9"/>
        <v>2. Dans la cellule B10, sélectionnez l’unité de mesure utilisée</v>
      </c>
      <c r="C398" s="2" t="s">
        <v>8275</v>
      </c>
      <c r="D398" s="501" t="s">
        <v>8276</v>
      </c>
      <c r="E398" s="501" t="s">
        <v>8277</v>
      </c>
      <c r="F398" s="501" t="s">
        <v>8278</v>
      </c>
      <c r="G398" s="508" t="s">
        <v>8279</v>
      </c>
      <c r="H398" s="508" t="s">
        <v>8280</v>
      </c>
      <c r="I398" s="2" t="s">
        <v>8281</v>
      </c>
      <c r="J398" s="507" t="s">
        <v>8282</v>
      </c>
      <c r="K398" s="507" t="s">
        <v>8283</v>
      </c>
      <c r="L398" s="507" t="s">
        <v>8284</v>
      </c>
      <c r="M398" s="507" t="s">
        <v>8285</v>
      </c>
      <c r="N398" s="507" t="s">
        <v>8286</v>
      </c>
    </row>
    <row r="399" spans="1:14" ht="28.8" x14ac:dyDescent="0.3">
      <c r="A399" s="2" t="s">
        <v>8287</v>
      </c>
      <c r="B399" s="2" t="str">
        <f t="shared" si="9"/>
        <v>3. Dans la cellule C10, sélectionnez la quantité de carburant utilisée.</v>
      </c>
      <c r="C399" s="2" t="s">
        <v>8288</v>
      </c>
      <c r="D399" s="501" t="s">
        <v>8289</v>
      </c>
      <c r="E399" s="501" t="s">
        <v>8290</v>
      </c>
      <c r="F399" s="501" t="s">
        <v>8291</v>
      </c>
      <c r="G399" s="508" t="s">
        <v>8292</v>
      </c>
      <c r="H399" s="508" t="s">
        <v>8293</v>
      </c>
      <c r="I399" s="2" t="s">
        <v>8294</v>
      </c>
      <c r="J399" s="507" t="s">
        <v>8295</v>
      </c>
      <c r="K399" s="507" t="s">
        <v>8296</v>
      </c>
      <c r="L399" s="507" t="s">
        <v>8297</v>
      </c>
      <c r="M399" s="507" t="s">
        <v>8298</v>
      </c>
      <c r="N399" s="507" t="s">
        <v>8299</v>
      </c>
    </row>
    <row r="400" spans="1:14" ht="57.6" x14ac:dyDescent="0.3">
      <c r="A400" s="2" t="s">
        <v>8300</v>
      </c>
      <c r="B400" s="2" t="str">
        <f t="shared" si="9"/>
        <v>4. La cellule D10 affiche l'état de la matière pour le carburant sélectionné.</v>
      </c>
      <c r="C400" s="2" t="s">
        <v>8301</v>
      </c>
      <c r="D400" s="501" t="s">
        <v>8302</v>
      </c>
      <c r="E400" s="501" t="s">
        <v>8303</v>
      </c>
      <c r="F400" s="501" t="s">
        <v>8304</v>
      </c>
      <c r="G400" s="508" t="s">
        <v>8305</v>
      </c>
      <c r="H400" s="508" t="s">
        <v>8306</v>
      </c>
      <c r="I400" s="2" t="s">
        <v>8307</v>
      </c>
      <c r="J400" s="507" t="s">
        <v>8308</v>
      </c>
      <c r="K400" s="507" t="s">
        <v>8309</v>
      </c>
      <c r="L400" s="507" t="s">
        <v>8310</v>
      </c>
      <c r="M400" s="507" t="s">
        <v>8311</v>
      </c>
      <c r="N400" s="507" t="s">
        <v>8312</v>
      </c>
    </row>
    <row r="401" spans="1:14" ht="57.6" x14ac:dyDescent="0.3">
      <c r="A401" s="2" t="s">
        <v>8313</v>
      </c>
      <c r="B401" s="2" t="str">
        <f t="shared" si="9"/>
        <v>5. La cellule E10 affiche le caractère renouvelable typique du carburant sélectionné.</v>
      </c>
      <c r="C401" s="2" t="s">
        <v>8314</v>
      </c>
      <c r="D401" s="501" t="s">
        <v>8315</v>
      </c>
      <c r="E401" s="501" t="s">
        <v>8316</v>
      </c>
      <c r="F401" s="501" t="s">
        <v>8317</v>
      </c>
      <c r="G401" s="508" t="s">
        <v>8318</v>
      </c>
      <c r="H401" s="508" t="s">
        <v>8319</v>
      </c>
      <c r="I401" s="2" t="s">
        <v>8320</v>
      </c>
      <c r="J401" s="507" t="s">
        <v>8321</v>
      </c>
      <c r="K401" s="507" t="s">
        <v>8322</v>
      </c>
      <c r="L401" s="507" t="s">
        <v>8323</v>
      </c>
      <c r="M401" s="507" t="s">
        <v>8324</v>
      </c>
      <c r="N401" s="507" t="s">
        <v>8325</v>
      </c>
    </row>
    <row r="402" spans="1:14" ht="57.6" x14ac:dyDescent="0.3">
      <c r="A402" s="2" t="s">
        <v>8326</v>
      </c>
      <c r="B402" s="2" t="str">
        <f t="shared" si="9"/>
        <v>6. La cellule F10 affiche l'énergie produite, en méga wattheures (MWh), par la quantité de carburant spécifiée.</v>
      </c>
      <c r="C402" s="2" t="s">
        <v>8327</v>
      </c>
      <c r="D402" s="501" t="s">
        <v>8328</v>
      </c>
      <c r="E402" s="501" t="s">
        <v>8329</v>
      </c>
      <c r="F402" s="501" t="s">
        <v>8330</v>
      </c>
      <c r="G402" s="508" t="s">
        <v>8331</v>
      </c>
      <c r="H402" s="508" t="s">
        <v>8332</v>
      </c>
      <c r="I402" s="2" t="s">
        <v>8333</v>
      </c>
      <c r="J402" s="507" t="s">
        <v>8334</v>
      </c>
      <c r="K402" s="507" t="s">
        <v>8335</v>
      </c>
      <c r="L402" s="507" t="s">
        <v>8336</v>
      </c>
      <c r="M402" s="507" t="s">
        <v>8337</v>
      </c>
      <c r="N402" s="507" t="s">
        <v>8338</v>
      </c>
    </row>
    <row r="403" spans="1:14" ht="28.8" x14ac:dyDescent="0.3">
      <c r="A403" s="2" t="s">
        <v>8339</v>
      </c>
      <c r="B403" s="2" t="str">
        <f t="shared" si="9"/>
        <v>7. La cellule A29 affiche l’énergie totale en mégawattheures (MWh).</v>
      </c>
      <c r="C403" s="2" t="s">
        <v>8340</v>
      </c>
      <c r="D403" s="501" t="s">
        <v>8341</v>
      </c>
      <c r="E403" s="501" t="s">
        <v>8342</v>
      </c>
      <c r="F403" s="501" t="s">
        <v>8343</v>
      </c>
      <c r="G403" s="508" t="s">
        <v>8344</v>
      </c>
      <c r="H403" s="508" t="s">
        <v>8345</v>
      </c>
      <c r="I403" s="2" t="s">
        <v>8346</v>
      </c>
      <c r="J403" s="507" t="s">
        <v>8347</v>
      </c>
      <c r="K403" s="507" t="s">
        <v>8348</v>
      </c>
      <c r="L403" s="507" t="s">
        <v>8349</v>
      </c>
      <c r="M403" s="507" t="s">
        <v>8350</v>
      </c>
      <c r="N403" s="507" t="s">
        <v>8351</v>
      </c>
    </row>
    <row r="404" spans="1:14" ht="57.6" x14ac:dyDescent="0.3">
      <c r="A404" s="2" t="s">
        <v>8352</v>
      </c>
      <c r="B404" s="2" t="str">
        <f t="shared" si="9"/>
        <v>8. La cellule A32 affiche l’énergie renouvelable totale en mégawattheures (MWh).</v>
      </c>
      <c r="C404" s="2" t="s">
        <v>8353</v>
      </c>
      <c r="D404" s="501" t="s">
        <v>8354</v>
      </c>
      <c r="E404" s="501" t="s">
        <v>8355</v>
      </c>
      <c r="F404" s="501" t="s">
        <v>8356</v>
      </c>
      <c r="G404" s="508" t="s">
        <v>8357</v>
      </c>
      <c r="H404" s="508" t="s">
        <v>8358</v>
      </c>
      <c r="I404" s="2" t="s">
        <v>8359</v>
      </c>
      <c r="J404" s="507" t="s">
        <v>8360</v>
      </c>
      <c r="K404" s="507" t="s">
        <v>8361</v>
      </c>
      <c r="L404" s="507" t="s">
        <v>8362</v>
      </c>
      <c r="M404" s="507" t="s">
        <v>8363</v>
      </c>
      <c r="N404" s="507" t="s">
        <v>8364</v>
      </c>
    </row>
    <row r="405" spans="1:14" ht="28.8" x14ac:dyDescent="0.3">
      <c r="A405" s="2" t="s">
        <v>8365</v>
      </c>
      <c r="B405" s="2" t="str">
        <f t="shared" si="9"/>
        <v>9. La cellule B32 affiche l’énergie non renouvelable totale en mégawattheures (MWh).</v>
      </c>
      <c r="C405" s="2" t="s">
        <v>8366</v>
      </c>
      <c r="D405" s="501" t="s">
        <v>8367</v>
      </c>
      <c r="E405" s="501" t="s">
        <v>8368</v>
      </c>
      <c r="F405" s="501" t="s">
        <v>8369</v>
      </c>
      <c r="G405" s="508" t="s">
        <v>8370</v>
      </c>
      <c r="H405" s="508" t="s">
        <v>8371</v>
      </c>
      <c r="I405" s="2" t="s">
        <v>8372</v>
      </c>
      <c r="J405" s="507" t="s">
        <v>8373</v>
      </c>
      <c r="K405" s="507" t="s">
        <v>8374</v>
      </c>
      <c r="L405" s="507" t="s">
        <v>8375</v>
      </c>
      <c r="M405" s="507" t="s">
        <v>8376</v>
      </c>
      <c r="N405" s="507" t="s">
        <v>8377</v>
      </c>
    </row>
    <row r="406" spans="1:14" ht="172.8" x14ac:dyDescent="0.3">
      <c r="A406" s="2" t="s">
        <v>8378</v>
      </c>
      <c r="B406" s="2" t="str">
        <f t="shared" si="9"/>
        <v>10. Des notes complémentaires sont disponibles ci-dessous.</v>
      </c>
      <c r="C406" s="2" t="s">
        <v>8379</v>
      </c>
      <c r="D406" s="501" t="s">
        <v>8380</v>
      </c>
      <c r="E406" s="501" t="s">
        <v>8381</v>
      </c>
      <c r="F406" s="501" t="s">
        <v>8382</v>
      </c>
      <c r="G406" s="508" t="s">
        <v>8383</v>
      </c>
      <c r="H406" s="508" t="s">
        <v>8384</v>
      </c>
      <c r="I406" s="2" t="s">
        <v>8385</v>
      </c>
      <c r="J406" s="507" t="s">
        <v>8386</v>
      </c>
      <c r="K406" s="507" t="s">
        <v>8387</v>
      </c>
      <c r="L406" s="507" t="s">
        <v>8388</v>
      </c>
      <c r="M406" s="507" t="s">
        <v>8389</v>
      </c>
      <c r="N406" s="507" t="s">
        <v>8390</v>
      </c>
    </row>
    <row r="407" spans="1:14" ht="28.8" x14ac:dyDescent="0.3">
      <c r="A407" s="2" t="s">
        <v>8391</v>
      </c>
      <c r="B407" s="2" t="str">
        <f t="shared" si="9"/>
        <v>Transférez les résultats totaux calculés dans la cellule B3 « Consommation d’énergie des carburants » du rapport.</v>
      </c>
      <c r="C407" s="2" t="s">
        <v>8392</v>
      </c>
      <c r="D407" s="501" t="s">
        <v>8393</v>
      </c>
      <c r="E407" s="501" t="s">
        <v>8394</v>
      </c>
      <c r="F407" s="501" t="s">
        <v>8395</v>
      </c>
      <c r="G407" s="508" t="s">
        <v>8396</v>
      </c>
      <c r="H407" s="508" t="s">
        <v>8397</v>
      </c>
      <c r="I407" s="2" t="s">
        <v>8398</v>
      </c>
      <c r="J407" s="507" t="s">
        <v>8399</v>
      </c>
      <c r="K407" s="507" t="s">
        <v>8400</v>
      </c>
      <c r="L407" s="507" t="s">
        <v>8401</v>
      </c>
      <c r="M407" s="507" t="s">
        <v>8402</v>
      </c>
      <c r="N407" s="507" t="s">
        <v>8403</v>
      </c>
    </row>
    <row r="408" spans="1:14" x14ac:dyDescent="0.3">
      <c r="A408" s="2" t="s">
        <v>8404</v>
      </c>
      <c r="B408" s="2" t="str">
        <f t="shared" si="9"/>
        <v>Consommation d’énergie totale [MWh]</v>
      </c>
      <c r="C408" s="2" t="s">
        <v>8405</v>
      </c>
      <c r="D408" s="501" t="s">
        <v>8406</v>
      </c>
      <c r="E408" s="501" t="s">
        <v>8407</v>
      </c>
      <c r="F408" s="501" t="s">
        <v>8408</v>
      </c>
      <c r="G408" s="508" t="s">
        <v>8409</v>
      </c>
      <c r="H408" s="508" t="s">
        <v>8410</v>
      </c>
      <c r="I408" s="2" t="s">
        <v>8411</v>
      </c>
      <c r="J408" s="507" t="s">
        <v>8412</v>
      </c>
      <c r="K408" s="507" t="s">
        <v>8413</v>
      </c>
      <c r="L408" s="507" t="s">
        <v>8414</v>
      </c>
      <c r="M408" s="507" t="s">
        <v>8415</v>
      </c>
      <c r="N408" s="507" t="s">
        <v>8416</v>
      </c>
    </row>
    <row r="409" spans="1:14" ht="57.6" x14ac:dyDescent="0.3">
      <c r="A409" s="2" t="s">
        <v>8417</v>
      </c>
      <c r="B409" s="2" t="str">
        <f t="shared" si="9"/>
        <v>Énergie renouvelable totale [MWh]</v>
      </c>
      <c r="C409" s="2" t="s">
        <v>8418</v>
      </c>
      <c r="D409" s="501" t="s">
        <v>8419</v>
      </c>
      <c r="E409" s="501" t="s">
        <v>8420</v>
      </c>
      <c r="F409" s="501" t="s">
        <v>8421</v>
      </c>
      <c r="G409" s="508" t="s">
        <v>8422</v>
      </c>
      <c r="H409" s="508" t="s">
        <v>8423</v>
      </c>
      <c r="I409" s="2" t="s">
        <v>8424</v>
      </c>
      <c r="J409" s="507" t="s">
        <v>8425</v>
      </c>
      <c r="K409" s="507" t="s">
        <v>8426</v>
      </c>
      <c r="L409" s="507" t="s">
        <v>8427</v>
      </c>
      <c r="M409" s="507" t="s">
        <v>8428</v>
      </c>
      <c r="N409" s="507" t="s">
        <v>8429</v>
      </c>
    </row>
    <row r="410" spans="1:14" x14ac:dyDescent="0.3">
      <c r="A410" s="2" t="s">
        <v>8430</v>
      </c>
      <c r="B410" s="2" t="str">
        <f t="shared" si="9"/>
        <v>Consommation d’énergie non renouvelable [MWh]</v>
      </c>
      <c r="C410" s="2" t="s">
        <v>8431</v>
      </c>
      <c r="D410" s="501" t="s">
        <v>8432</v>
      </c>
      <c r="E410" s="501" t="s">
        <v>8433</v>
      </c>
      <c r="F410" s="501" t="s">
        <v>8434</v>
      </c>
      <c r="G410" s="508" t="s">
        <v>8435</v>
      </c>
      <c r="H410" s="508" t="s">
        <v>8436</v>
      </c>
      <c r="I410" s="2" t="s">
        <v>8437</v>
      </c>
      <c r="J410" s="507" t="s">
        <v>8438</v>
      </c>
      <c r="K410" s="507" t="s">
        <v>8439</v>
      </c>
      <c r="L410" s="507" t="s">
        <v>8440</v>
      </c>
      <c r="M410" s="507" t="s">
        <v>8441</v>
      </c>
      <c r="N410" s="507" t="s">
        <v>8442</v>
      </c>
    </row>
    <row r="411" spans="1:14" x14ac:dyDescent="0.3">
      <c r="A411" s="2" t="s">
        <v>8443</v>
      </c>
      <c r="B411" s="2" t="str">
        <f t="shared" si="9"/>
        <v>Notes complémentaires :</v>
      </c>
      <c r="C411" s="2" t="s">
        <v>8444</v>
      </c>
      <c r="D411" s="501" t="s">
        <v>8445</v>
      </c>
      <c r="E411" s="501" t="s">
        <v>8446</v>
      </c>
      <c r="F411" s="501" t="s">
        <v>8447</v>
      </c>
      <c r="G411" s="508" t="s">
        <v>8448</v>
      </c>
      <c r="H411" s="508" t="s">
        <v>8449</v>
      </c>
      <c r="I411" s="2" t="s">
        <v>8450</v>
      </c>
      <c r="J411" s="507" t="s">
        <v>8451</v>
      </c>
      <c r="K411" s="507" t="s">
        <v>8452</v>
      </c>
      <c r="L411" s="507" t="s">
        <v>8453</v>
      </c>
      <c r="M411" s="507" t="s">
        <v>8454</v>
      </c>
      <c r="N411" s="507" t="s">
        <v>8455</v>
      </c>
    </row>
    <row r="412" spans="1:14" ht="15" customHeight="1" thickBot="1" x14ac:dyDescent="0.35">
      <c r="A412" s="513" t="s">
        <v>8456</v>
      </c>
      <c r="B412" s="513" t="str">
        <f t="shared" si="9"/>
        <v>Le convertisseur offre la possibilité de calculer simultanément jusqu’à 10 types de carburants différents. Pour ce faire, veuillez développer les colonnes masquées en utilisant l’icône « plus » située en haut du document.
Chaque convertisseur de carburant développé fonctionne exactement comme expliqué ci-dessus.
Il est important de noter que le calcul automatique effectué par le convertisseur de carburants utilise des valeurs de pouvoir calorifique net (PCN) et de densité typiques pour chaque type de combustible. Si l’entreprise est en mesure de fournir les PCN et densités spécifiques des combustibles utilisés, il est possible de calculer la consommation d’énergie par heure en MWh en intégrant ces valeurs spécifiques dans les formules automatisées de la feuille du convertisseur.
Ci-dessous, les formules sont fournies au cas où une solution de calcul non automatisée, utilisant des valeurs spécifiques, serait préférée à celle du convertisseur. Si vous devez convertir l’unité de mesure de vos valeurs spécifiques, veuillez utiliser le convertisseur d’unités de mesure.</v>
      </c>
      <c r="C412" s="513" t="s">
        <v>8457</v>
      </c>
      <c r="D412" s="509" t="s">
        <v>8458</v>
      </c>
      <c r="E412" s="509" t="s">
        <v>8459</v>
      </c>
      <c r="F412" s="509" t="s">
        <v>8460</v>
      </c>
      <c r="G412" s="512" t="s">
        <v>8461</v>
      </c>
      <c r="H412" s="512" t="s">
        <v>8462</v>
      </c>
      <c r="I412" s="513" t="s">
        <v>8463</v>
      </c>
      <c r="J412" s="511" t="s">
        <v>8464</v>
      </c>
      <c r="K412" s="511" t="s">
        <v>8465</v>
      </c>
      <c r="L412" s="511" t="s">
        <v>8466</v>
      </c>
      <c r="M412" s="511" t="s">
        <v>8467</v>
      </c>
      <c r="N412" s="511" t="s">
        <v>8468</v>
      </c>
    </row>
    <row r="413" spans="1:14" ht="28.8" x14ac:dyDescent="0.3">
      <c r="A413" s="2" t="s">
        <v>8469</v>
      </c>
      <c r="B413" s="2" t="str">
        <f t="shared" si="9"/>
        <v>Consommation d'énergie par heure en MWh pour les combustibles solides :</v>
      </c>
      <c r="C413" s="2" t="s">
        <v>8470</v>
      </c>
      <c r="D413" s="501" t="s">
        <v>8471</v>
      </c>
      <c r="E413" s="501" t="s">
        <v>8472</v>
      </c>
      <c r="F413" s="501" t="s">
        <v>8473</v>
      </c>
      <c r="G413" s="508" t="s">
        <v>8474</v>
      </c>
      <c r="H413" s="508" t="s">
        <v>8475</v>
      </c>
      <c r="I413" s="2" t="s">
        <v>8476</v>
      </c>
      <c r="J413" s="507" t="s">
        <v>8477</v>
      </c>
      <c r="K413" s="507" t="s">
        <v>8478</v>
      </c>
      <c r="L413" s="507" t="s">
        <v>8479</v>
      </c>
      <c r="M413" s="507" t="s">
        <v>8480</v>
      </c>
      <c r="N413" s="507" t="s">
        <v>8481</v>
      </c>
    </row>
    <row r="414" spans="1:14" ht="43.2" x14ac:dyDescent="0.3">
      <c r="A414" s="2" t="s">
        <v>8482</v>
      </c>
      <c r="B414" s="2" t="str">
        <f t="shared" si="9"/>
        <v>Énergie [MWh] = Masse [t] * PCN [MWh/t]</v>
      </c>
      <c r="C414" s="2" t="s">
        <v>8483</v>
      </c>
      <c r="D414" s="501" t="s">
        <v>8484</v>
      </c>
      <c r="E414" s="501" t="s">
        <v>8485</v>
      </c>
      <c r="F414" s="501" t="s">
        <v>8486</v>
      </c>
      <c r="G414" s="508" t="s">
        <v>8487</v>
      </c>
      <c r="H414" s="508" t="s">
        <v>8488</v>
      </c>
      <c r="I414" s="2" t="s">
        <v>8489</v>
      </c>
      <c r="J414" s="507" t="s">
        <v>8490</v>
      </c>
      <c r="K414" s="507" t="s">
        <v>8491</v>
      </c>
      <c r="L414" s="507" t="s">
        <v>8492</v>
      </c>
      <c r="M414" s="507" t="s">
        <v>8493</v>
      </c>
      <c r="N414" s="507" t="s">
        <v>8494</v>
      </c>
    </row>
    <row r="415" spans="1:14" ht="28.8" x14ac:dyDescent="0.3">
      <c r="A415" s="2" t="s">
        <v>8495</v>
      </c>
      <c r="B415" s="2" t="str">
        <f t="shared" si="9"/>
        <v>Consommation d'énergie par heure en MWh pour les combustibles liquides :</v>
      </c>
      <c r="C415" s="2" t="s">
        <v>8496</v>
      </c>
      <c r="D415" s="501" t="s">
        <v>8497</v>
      </c>
      <c r="E415" s="501" t="s">
        <v>8498</v>
      </c>
      <c r="F415" s="501" t="s">
        <v>8499</v>
      </c>
      <c r="G415" s="508" t="s">
        <v>8500</v>
      </c>
      <c r="H415" s="508" t="s">
        <v>8501</v>
      </c>
      <c r="I415" s="2" t="s">
        <v>8502</v>
      </c>
      <c r="J415" s="507" t="s">
        <v>8503</v>
      </c>
      <c r="K415" s="507" t="s">
        <v>8504</v>
      </c>
      <c r="L415" s="507" t="s">
        <v>8505</v>
      </c>
      <c r="M415" s="507" t="s">
        <v>8506</v>
      </c>
      <c r="N415" s="507" t="s">
        <v>8507</v>
      </c>
    </row>
    <row r="416" spans="1:14" x14ac:dyDescent="0.3">
      <c r="A416" s="2" t="s">
        <v>8508</v>
      </c>
      <c r="B416" s="2" t="str">
        <f t="shared" si="9"/>
        <v>Masse [t] = Volume [L] * Densité [t/L]</v>
      </c>
      <c r="C416" s="2" t="s">
        <v>8509</v>
      </c>
      <c r="D416" s="501" t="s">
        <v>8510</v>
      </c>
      <c r="E416" s="501" t="s">
        <v>8511</v>
      </c>
      <c r="F416" s="501" t="s">
        <v>8512</v>
      </c>
      <c r="G416" s="508" t="s">
        <v>8513</v>
      </c>
      <c r="H416" s="508" t="s">
        <v>8514</v>
      </c>
      <c r="I416" s="2" t="s">
        <v>8515</v>
      </c>
      <c r="J416" s="507" t="s">
        <v>8516</v>
      </c>
      <c r="K416" s="507" t="s">
        <v>8517</v>
      </c>
      <c r="L416" s="507" t="s">
        <v>8518</v>
      </c>
      <c r="M416" s="507" t="s">
        <v>8519</v>
      </c>
      <c r="N416" s="507" t="s">
        <v>8520</v>
      </c>
    </row>
    <row r="417" spans="1:14" x14ac:dyDescent="0.3">
      <c r="A417" s="2" t="s">
        <v>8521</v>
      </c>
      <c r="B417" s="2" t="str">
        <f t="shared" si="9"/>
        <v>Énergie [MWh] = Masse [t] * [MWh/t]</v>
      </c>
      <c r="C417" s="2" t="s">
        <v>8522</v>
      </c>
      <c r="D417" s="501" t="s">
        <v>8523</v>
      </c>
      <c r="E417" s="501" t="s">
        <v>8524</v>
      </c>
      <c r="F417" s="501" t="s">
        <v>8525</v>
      </c>
      <c r="G417" s="508" t="s">
        <v>8526</v>
      </c>
      <c r="H417" s="508" t="s">
        <v>8527</v>
      </c>
      <c r="I417" s="2" t="s">
        <v>8528</v>
      </c>
      <c r="J417" s="507" t="s">
        <v>8529</v>
      </c>
      <c r="K417" s="507" t="s">
        <v>8530</v>
      </c>
      <c r="L417" s="507" t="s">
        <v>8528</v>
      </c>
      <c r="M417" s="507" t="s">
        <v>8531</v>
      </c>
      <c r="N417" s="507" t="s">
        <v>8532</v>
      </c>
    </row>
    <row r="418" spans="1:14" ht="28.8" x14ac:dyDescent="0.3">
      <c r="A418" s="2" t="s">
        <v>8533</v>
      </c>
      <c r="B418" s="2" t="str">
        <f t="shared" si="9"/>
        <v>Consommation d'énergie par heure en MWh pour les combustibles gazeux :</v>
      </c>
      <c r="C418" s="2" t="s">
        <v>8534</v>
      </c>
      <c r="D418" s="501" t="s">
        <v>8535</v>
      </c>
      <c r="E418" s="501" t="s">
        <v>8536</v>
      </c>
      <c r="F418" s="501" t="s">
        <v>8537</v>
      </c>
      <c r="G418" s="508" t="s">
        <v>8538</v>
      </c>
      <c r="H418" s="508" t="s">
        <v>8539</v>
      </c>
      <c r="I418" s="2" t="s">
        <v>8540</v>
      </c>
      <c r="J418" s="507" t="s">
        <v>8541</v>
      </c>
      <c r="K418" s="507" t="s">
        <v>8542</v>
      </c>
      <c r="L418" s="507" t="s">
        <v>8543</v>
      </c>
      <c r="M418" s="507" t="s">
        <v>8544</v>
      </c>
      <c r="N418" s="507" t="s">
        <v>8545</v>
      </c>
    </row>
    <row r="419" spans="1:14" x14ac:dyDescent="0.3">
      <c r="A419" s="2" t="s">
        <v>8546</v>
      </c>
      <c r="B419" s="2" t="str">
        <f t="shared" si="9"/>
        <v>Masse [t] = Volume [m³] * Densité [t/m³]</v>
      </c>
      <c r="C419" s="2" t="s">
        <v>8547</v>
      </c>
      <c r="D419" s="501" t="s">
        <v>8548</v>
      </c>
      <c r="E419" s="501" t="s">
        <v>8549</v>
      </c>
      <c r="F419" s="501" t="s">
        <v>8550</v>
      </c>
      <c r="G419" s="508" t="s">
        <v>8551</v>
      </c>
      <c r="H419" s="508" t="s">
        <v>8552</v>
      </c>
      <c r="I419" s="2" t="s">
        <v>8553</v>
      </c>
      <c r="J419" s="507" t="s">
        <v>8554</v>
      </c>
      <c r="K419" s="507" t="s">
        <v>8555</v>
      </c>
      <c r="L419" s="507" t="s">
        <v>8556</v>
      </c>
      <c r="M419" s="507" t="s">
        <v>8557</v>
      </c>
      <c r="N419" s="507" t="s">
        <v>8558</v>
      </c>
    </row>
    <row r="420" spans="1:14" ht="15" thickBot="1" x14ac:dyDescent="0.35">
      <c r="A420" s="513" t="s">
        <v>8559</v>
      </c>
      <c r="B420" s="513" t="str">
        <f t="shared" si="9"/>
        <v>Énergie [MWh] = Masse [t] × PCN [MWh/t]</v>
      </c>
      <c r="C420" s="513" t="s">
        <v>8483</v>
      </c>
      <c r="D420" s="509" t="s">
        <v>8484</v>
      </c>
      <c r="E420" s="509" t="s">
        <v>8485</v>
      </c>
      <c r="F420" s="509" t="s">
        <v>8560</v>
      </c>
      <c r="G420" s="512" t="s">
        <v>8487</v>
      </c>
      <c r="H420" s="512" t="s">
        <v>8488</v>
      </c>
      <c r="I420" s="513" t="s">
        <v>8489</v>
      </c>
      <c r="J420" s="511" t="s">
        <v>8490</v>
      </c>
      <c r="K420" s="511" t="s">
        <v>8491</v>
      </c>
      <c r="L420" s="511" t="s">
        <v>8492</v>
      </c>
      <c r="M420" s="511" t="s">
        <v>8493</v>
      </c>
      <c r="N420" s="511" t="s">
        <v>8561</v>
      </c>
    </row>
    <row r="421" spans="1:14" x14ac:dyDescent="0.3">
      <c r="A421" s="2" t="s">
        <v>8562</v>
      </c>
      <c r="B421" s="2" t="str">
        <f t="shared" si="9"/>
        <v>Convertisseur d'unité de mesure</v>
      </c>
      <c r="C421" s="2" t="s">
        <v>8563</v>
      </c>
      <c r="D421" s="501" t="s">
        <v>8564</v>
      </c>
      <c r="E421" s="501" t="s">
        <v>8565</v>
      </c>
      <c r="F421" s="501" t="s">
        <v>8566</v>
      </c>
      <c r="G421" s="508" t="s">
        <v>8567</v>
      </c>
      <c r="H421" s="508" t="s">
        <v>8568</v>
      </c>
      <c r="I421" s="2" t="s">
        <v>8569</v>
      </c>
      <c r="J421" s="507" t="s">
        <v>8570</v>
      </c>
      <c r="K421" s="507" t="s">
        <v>8571</v>
      </c>
      <c r="L421" s="507" t="s">
        <v>8572</v>
      </c>
      <c r="M421" s="507" t="s">
        <v>8573</v>
      </c>
      <c r="N421" s="507" t="s">
        <v>8574</v>
      </c>
    </row>
    <row r="422" spans="1:14" ht="86.4" x14ac:dyDescent="0.3">
      <c r="A422" s="2" t="s">
        <v>8575</v>
      </c>
      <c r="B422" s="2" t="str">
        <f t="shared" si="9"/>
        <v>De</v>
      </c>
      <c r="C422" s="2" t="s">
        <v>8576</v>
      </c>
      <c r="D422" s="501" t="s">
        <v>8577</v>
      </c>
      <c r="E422" s="501" t="s">
        <v>8578</v>
      </c>
      <c r="F422" s="501" t="s">
        <v>8579</v>
      </c>
      <c r="G422" s="508" t="s">
        <v>8580</v>
      </c>
      <c r="H422" s="508" t="s">
        <v>8581</v>
      </c>
      <c r="I422" s="2" t="s">
        <v>8582</v>
      </c>
      <c r="J422" s="507" t="s">
        <v>8583</v>
      </c>
      <c r="K422" s="507" t="s">
        <v>8584</v>
      </c>
      <c r="L422" s="507" t="s">
        <v>8579</v>
      </c>
      <c r="M422" s="507" t="s">
        <v>8585</v>
      </c>
      <c r="N422" s="507" t="s">
        <v>8586</v>
      </c>
    </row>
    <row r="423" spans="1:14" x14ac:dyDescent="0.3">
      <c r="A423" s="2" t="s">
        <v>8587</v>
      </c>
      <c r="B423" s="2" t="str">
        <f t="shared" si="9"/>
        <v>Unité de mesure du convertisseur de masse</v>
      </c>
      <c r="C423" s="2" t="s">
        <v>8588</v>
      </c>
      <c r="D423" s="501" t="s">
        <v>8589</v>
      </c>
      <c r="E423" s="501" t="s">
        <v>8590</v>
      </c>
      <c r="F423" s="501" t="s">
        <v>8591</v>
      </c>
      <c r="G423" s="508" t="s">
        <v>8592</v>
      </c>
      <c r="H423" s="508" t="s">
        <v>8593</v>
      </c>
      <c r="I423" s="2" t="s">
        <v>8594</v>
      </c>
      <c r="J423" s="507" t="s">
        <v>8595</v>
      </c>
      <c r="K423" s="507" t="s">
        <v>8596</v>
      </c>
      <c r="L423" s="507" t="s">
        <v>8597</v>
      </c>
      <c r="M423" s="507" t="s">
        <v>8598</v>
      </c>
      <c r="N423" s="507" t="s">
        <v>8599</v>
      </c>
    </row>
    <row r="424" spans="1:14" x14ac:dyDescent="0.3">
      <c r="A424" s="2" t="s">
        <v>8600</v>
      </c>
      <c r="B424" s="2" t="str">
        <f t="shared" si="9"/>
        <v>Unité de mesure du convertisseur de volume</v>
      </c>
      <c r="C424" s="2" t="s">
        <v>8601</v>
      </c>
      <c r="D424" s="501" t="s">
        <v>8602</v>
      </c>
      <c r="E424" s="501" t="s">
        <v>8603</v>
      </c>
      <c r="F424" s="501" t="s">
        <v>8604</v>
      </c>
      <c r="G424" s="508" t="s">
        <v>8605</v>
      </c>
      <c r="H424" s="508" t="s">
        <v>8606</v>
      </c>
      <c r="I424" s="2" t="s">
        <v>8607</v>
      </c>
      <c r="J424" s="507" t="s">
        <v>8608</v>
      </c>
      <c r="K424" s="507" t="s">
        <v>8609</v>
      </c>
      <c r="L424" s="507" t="s">
        <v>8610</v>
      </c>
      <c r="M424" s="507" t="s">
        <v>8611</v>
      </c>
      <c r="N424" s="507" t="s">
        <v>8612</v>
      </c>
    </row>
    <row r="425" spans="1:14" ht="28.8" x14ac:dyDescent="0.3">
      <c r="A425" s="2" t="s">
        <v>8613</v>
      </c>
      <c r="B425" s="2" t="str">
        <f t="shared" si="9"/>
        <v>Unité de mesure de la consommation d’énergie par heure</v>
      </c>
      <c r="C425" s="2" t="s">
        <v>8614</v>
      </c>
      <c r="D425" s="501" t="s">
        <v>8615</v>
      </c>
      <c r="E425" s="501" t="s">
        <v>8616</v>
      </c>
      <c r="F425" s="501" t="s">
        <v>8617</v>
      </c>
      <c r="G425" s="508" t="s">
        <v>8618</v>
      </c>
      <c r="H425" s="508" t="s">
        <v>8619</v>
      </c>
      <c r="I425" s="2" t="s">
        <v>8620</v>
      </c>
      <c r="J425" s="507" t="s">
        <v>8621</v>
      </c>
      <c r="K425" s="507" t="s">
        <v>8622</v>
      </c>
      <c r="L425" s="507" t="s">
        <v>8623</v>
      </c>
      <c r="M425" s="507" t="s">
        <v>8624</v>
      </c>
      <c r="N425" s="507" t="s">
        <v>8625</v>
      </c>
    </row>
    <row r="426" spans="1:14" ht="28.8" x14ac:dyDescent="0.3">
      <c r="A426" s="2" t="s">
        <v>8626</v>
      </c>
      <c r="B426" s="2" t="str">
        <f t="shared" si="9"/>
        <v>Unité de mesure du convertisseur PCN</v>
      </c>
      <c r="C426" s="2" t="s">
        <v>8627</v>
      </c>
      <c r="D426" s="501" t="s">
        <v>8628</v>
      </c>
      <c r="E426" s="501" t="s">
        <v>8629</v>
      </c>
      <c r="F426" s="501" t="s">
        <v>8630</v>
      </c>
      <c r="G426" s="508" t="s">
        <v>8631</v>
      </c>
      <c r="H426" s="508" t="s">
        <v>8632</v>
      </c>
      <c r="I426" s="2" t="s">
        <v>8633</v>
      </c>
      <c r="J426" s="507" t="s">
        <v>8634</v>
      </c>
      <c r="K426" s="507" t="s">
        <v>8635</v>
      </c>
      <c r="L426" s="507" t="s">
        <v>8636</v>
      </c>
      <c r="M426" s="507" t="s">
        <v>8637</v>
      </c>
      <c r="N426" s="507" t="s">
        <v>8638</v>
      </c>
    </row>
    <row r="427" spans="1:14" x14ac:dyDescent="0.3">
      <c r="A427" s="2" t="s">
        <v>8639</v>
      </c>
      <c r="B427" s="2" t="str">
        <f t="shared" si="9"/>
        <v>Convertisseur masse-volume (ou inversement)</v>
      </c>
      <c r="C427" s="2" t="s">
        <v>8640</v>
      </c>
      <c r="D427" s="501" t="s">
        <v>8641</v>
      </c>
      <c r="E427" s="501" t="s">
        <v>8642</v>
      </c>
      <c r="F427" s="501" t="s">
        <v>8643</v>
      </c>
      <c r="G427" s="501" t="s">
        <v>8644</v>
      </c>
      <c r="H427" s="501" t="s">
        <v>8645</v>
      </c>
      <c r="I427" s="501" t="s">
        <v>8646</v>
      </c>
      <c r="J427" s="501" t="s">
        <v>8647</v>
      </c>
      <c r="K427" s="501" t="s">
        <v>8648</v>
      </c>
      <c r="L427" s="501" t="s">
        <v>8649</v>
      </c>
      <c r="M427" s="501" t="s">
        <v>8650</v>
      </c>
      <c r="N427" s="501" t="s">
        <v>8651</v>
      </c>
    </row>
    <row r="428" spans="1:14" x14ac:dyDescent="0.3">
      <c r="A428" s="2" t="s">
        <v>8652</v>
      </c>
      <c r="B428" s="2" t="str">
        <f t="shared" si="9"/>
        <v>Densité (kg/L)</v>
      </c>
      <c r="C428" s="2" t="s">
        <v>8653</v>
      </c>
      <c r="D428" s="501" t="s">
        <v>8654</v>
      </c>
      <c r="E428" s="501" t="s">
        <v>8655</v>
      </c>
      <c r="F428" s="501" t="s">
        <v>8656</v>
      </c>
      <c r="G428" s="501" t="s">
        <v>8657</v>
      </c>
      <c r="H428" s="501" t="s">
        <v>8658</v>
      </c>
      <c r="I428" s="501" t="s">
        <v>8659</v>
      </c>
      <c r="J428" s="501" t="s">
        <v>8660</v>
      </c>
      <c r="K428" s="501" t="s">
        <v>8661</v>
      </c>
      <c r="L428" s="501" t="s">
        <v>8662</v>
      </c>
      <c r="M428" s="501" t="s">
        <v>8663</v>
      </c>
      <c r="N428" s="501" t="s">
        <v>8664</v>
      </c>
    </row>
    <row r="429" spans="1:14" ht="43.2" x14ac:dyDescent="0.3">
      <c r="A429" s="2" t="s">
        <v>8665</v>
      </c>
      <c r="B429" s="2" t="str">
        <f t="shared" si="9"/>
        <v>Unité de mesure du convertisseur de densité</v>
      </c>
      <c r="C429" s="2" t="s">
        <v>8666</v>
      </c>
      <c r="D429" s="501" t="s">
        <v>8667</v>
      </c>
      <c r="E429" s="501" t="s">
        <v>8668</v>
      </c>
      <c r="F429" s="501" t="s">
        <v>8669</v>
      </c>
      <c r="G429" s="508" t="s">
        <v>8670</v>
      </c>
      <c r="H429" s="508" t="s">
        <v>8671</v>
      </c>
      <c r="I429" s="2" t="s">
        <v>8672</v>
      </c>
      <c r="J429" s="507" t="s">
        <v>8673</v>
      </c>
      <c r="K429" s="507" t="s">
        <v>8674</v>
      </c>
      <c r="L429" s="507" t="s">
        <v>8675</v>
      </c>
      <c r="M429" s="507" t="s">
        <v>8676</v>
      </c>
      <c r="N429" s="507" t="s">
        <v>8677</v>
      </c>
    </row>
    <row r="430" spans="1:14" x14ac:dyDescent="0.3">
      <c r="A430" s="2" t="s">
        <v>8678</v>
      </c>
      <c r="B430" s="2" t="str">
        <f t="shared" ref="B430:B475" si="10">INDEX(C430:N430,MATCH(template_selected_display_language,$C$3:$N$3,0))</f>
        <v>Utilisation du convertisseur d'unités de mesure</v>
      </c>
      <c r="C430" s="2" t="s">
        <v>8679</v>
      </c>
      <c r="D430" s="501" t="s">
        <v>8680</v>
      </c>
      <c r="E430" s="501" t="s">
        <v>8681</v>
      </c>
      <c r="F430" s="501" t="s">
        <v>8682</v>
      </c>
      <c r="G430" s="508" t="s">
        <v>8683</v>
      </c>
      <c r="H430" s="508" t="s">
        <v>8684</v>
      </c>
      <c r="I430" s="2" t="s">
        <v>8685</v>
      </c>
      <c r="J430" s="507" t="s">
        <v>8686</v>
      </c>
      <c r="K430" s="507" t="s">
        <v>8687</v>
      </c>
      <c r="L430" s="507" t="s">
        <v>8688</v>
      </c>
      <c r="M430" s="507" t="s">
        <v>8689</v>
      </c>
      <c r="N430" s="507" t="s">
        <v>8690</v>
      </c>
    </row>
    <row r="431" spans="1:14" ht="43.2" x14ac:dyDescent="0.3">
      <c r="A431" s="2" t="s">
        <v>8691</v>
      </c>
      <c r="B431" s="2" t="str">
        <f t="shared" si="10"/>
        <v>Étapes à suivre pour le tableau des masses :</v>
      </c>
      <c r="C431" s="2" t="s">
        <v>8692</v>
      </c>
      <c r="D431" s="501" t="s">
        <v>8693</v>
      </c>
      <c r="E431" s="501" t="s">
        <v>8694</v>
      </c>
      <c r="F431" s="501" t="s">
        <v>8695</v>
      </c>
      <c r="G431" s="508" t="s">
        <v>8696</v>
      </c>
      <c r="H431" s="508" t="s">
        <v>8697</v>
      </c>
      <c r="I431" s="2" t="s">
        <v>8698</v>
      </c>
      <c r="J431" s="507" t="s">
        <v>8699</v>
      </c>
      <c r="K431" s="507" t="s">
        <v>8700</v>
      </c>
      <c r="L431" s="507" t="s">
        <v>8701</v>
      </c>
      <c r="M431" s="507" t="s">
        <v>8702</v>
      </c>
      <c r="N431" s="507" t="s">
        <v>8703</v>
      </c>
    </row>
    <row r="432" spans="1:14" ht="57.6" x14ac:dyDescent="0.3">
      <c r="A432" s="2" t="s">
        <v>8704</v>
      </c>
      <c r="B432" s="2" t="str">
        <f t="shared" si="10"/>
        <v xml:space="preserve">1. Dans la cellule B5 du tableau relatif au convertisseur d’unité de mesure de la masse, l'unité de mesure à convertir doit être insérée. 
</v>
      </c>
      <c r="C432" s="2" t="s">
        <v>8705</v>
      </c>
      <c r="D432" s="501" t="s">
        <v>8706</v>
      </c>
      <c r="E432" s="501" t="s">
        <v>8707</v>
      </c>
      <c r="F432" s="501" t="s">
        <v>8708</v>
      </c>
      <c r="G432" s="508" t="s">
        <v>8709</v>
      </c>
      <c r="H432" s="508" t="s">
        <v>8710</v>
      </c>
      <c r="I432" s="2" t="s">
        <v>8711</v>
      </c>
      <c r="J432" s="507" t="s">
        <v>8712</v>
      </c>
      <c r="K432" s="507" t="s">
        <v>8713</v>
      </c>
      <c r="L432" s="507" t="s">
        <v>8714</v>
      </c>
      <c r="M432" s="507" t="s">
        <v>8715</v>
      </c>
      <c r="N432" s="507" t="s">
        <v>8716</v>
      </c>
    </row>
    <row r="433" spans="1:14" ht="28.8" x14ac:dyDescent="0.3">
      <c r="A433" s="2" t="s">
        <v>8717</v>
      </c>
      <c r="B433" s="2" t="str">
        <f t="shared" si="10"/>
        <v>2. Puis, dans la cellule B6, la quantité de masse peut être insérée.</v>
      </c>
      <c r="C433" s="2" t="s">
        <v>8718</v>
      </c>
      <c r="D433" s="501" t="s">
        <v>8719</v>
      </c>
      <c r="E433" s="501" t="s">
        <v>8720</v>
      </c>
      <c r="F433" s="501" t="s">
        <v>8721</v>
      </c>
      <c r="G433" s="508" t="s">
        <v>8722</v>
      </c>
      <c r="H433" s="508" t="s">
        <v>8723</v>
      </c>
      <c r="I433" s="2" t="s">
        <v>8724</v>
      </c>
      <c r="J433" s="507" t="s">
        <v>8725</v>
      </c>
      <c r="K433" s="507" t="s">
        <v>8726</v>
      </c>
      <c r="L433" s="507" t="s">
        <v>8727</v>
      </c>
      <c r="M433" s="507" t="s">
        <v>8728</v>
      </c>
      <c r="N433" s="507" t="s">
        <v>8729</v>
      </c>
    </row>
    <row r="434" spans="1:14" ht="57.6" x14ac:dyDescent="0.3">
      <c r="A434" s="2" t="s">
        <v>8730</v>
      </c>
      <c r="B434" s="2" t="str">
        <f t="shared" si="10"/>
        <v>3. Enfin, dans la cellule D5, l’unité de mesure souhaitée doit être indiquée.</v>
      </c>
      <c r="C434" s="2" t="s">
        <v>8731</v>
      </c>
      <c r="D434" s="501" t="s">
        <v>8732</v>
      </c>
      <c r="E434" s="501" t="s">
        <v>8733</v>
      </c>
      <c r="F434" s="501" t="s">
        <v>8734</v>
      </c>
      <c r="G434" s="508" t="s">
        <v>8735</v>
      </c>
      <c r="H434" s="508" t="s">
        <v>8736</v>
      </c>
      <c r="I434" s="2" t="s">
        <v>8737</v>
      </c>
      <c r="J434" s="507" t="s">
        <v>8738</v>
      </c>
      <c r="K434" s="507" t="s">
        <v>8739</v>
      </c>
      <c r="L434" s="507" t="s">
        <v>8740</v>
      </c>
      <c r="M434" s="507" t="s">
        <v>8741</v>
      </c>
      <c r="N434" s="507" t="s">
        <v>8742</v>
      </c>
    </row>
    <row r="435" spans="1:14" ht="28.8" x14ac:dyDescent="0.3">
      <c r="A435" s="2" t="s">
        <v>8743</v>
      </c>
      <c r="B435" s="2" t="str">
        <f t="shared" si="10"/>
        <v>4. Le résultat de la conversion sera affiché dans la cellule D6.</v>
      </c>
      <c r="C435" s="2" t="s">
        <v>8744</v>
      </c>
      <c r="D435" s="501" t="s">
        <v>8745</v>
      </c>
      <c r="E435" s="501" t="s">
        <v>8746</v>
      </c>
      <c r="F435" s="501" t="s">
        <v>8747</v>
      </c>
      <c r="G435" s="508" t="s">
        <v>8748</v>
      </c>
      <c r="H435" s="508" t="s">
        <v>8749</v>
      </c>
      <c r="I435" s="2" t="s">
        <v>8750</v>
      </c>
      <c r="J435" s="507" t="s">
        <v>8751</v>
      </c>
      <c r="K435" s="507" t="s">
        <v>8752</v>
      </c>
      <c r="L435" s="507" t="s">
        <v>8753</v>
      </c>
      <c r="M435" s="507" t="s">
        <v>8754</v>
      </c>
      <c r="N435" s="507" t="s">
        <v>8755</v>
      </c>
    </row>
    <row r="436" spans="1:14" ht="72" x14ac:dyDescent="0.3">
      <c r="A436" s="2" t="s">
        <v>8756</v>
      </c>
      <c r="B436" s="2" t="str">
        <f t="shared" si="10"/>
        <v>Les étapes à suivre pour les autres tableaux (volume, consommation d’énergie, densité et PCN) sont les mêmes que pour le tableau des masses.</v>
      </c>
      <c r="C436" s="2" t="s">
        <v>8757</v>
      </c>
      <c r="D436" s="501" t="s">
        <v>8758</v>
      </c>
      <c r="E436" s="501" t="s">
        <v>8759</v>
      </c>
      <c r="F436" s="501" t="s">
        <v>8760</v>
      </c>
      <c r="G436" s="508" t="s">
        <v>8761</v>
      </c>
      <c r="H436" s="508" t="s">
        <v>8762</v>
      </c>
      <c r="I436" s="2" t="s">
        <v>8763</v>
      </c>
      <c r="J436" s="507" t="s">
        <v>8764</v>
      </c>
      <c r="K436" s="507" t="s">
        <v>8765</v>
      </c>
      <c r="L436" s="507" t="s">
        <v>8766</v>
      </c>
      <c r="M436" s="507" t="s">
        <v>8767</v>
      </c>
      <c r="N436" s="507" t="s">
        <v>8768</v>
      </c>
    </row>
    <row r="437" spans="1:14" ht="28.8" x14ac:dyDescent="0.3">
      <c r="A437" s="2" t="s">
        <v>8769</v>
      </c>
      <c r="B437" s="2" t="str">
        <f t="shared" si="10"/>
        <v>Ci‑dessous sont indiquées toutes les conversions d’unités de mesure pour chaque tableau.</v>
      </c>
      <c r="C437" s="2" t="s">
        <v>8770</v>
      </c>
      <c r="D437" s="501" t="s">
        <v>8771</v>
      </c>
      <c r="E437" s="501" t="s">
        <v>8772</v>
      </c>
      <c r="F437" s="501" t="s">
        <v>8773</v>
      </c>
      <c r="G437" s="508" t="s">
        <v>8774</v>
      </c>
      <c r="H437" s="508" t="s">
        <v>8775</v>
      </c>
      <c r="I437" s="2" t="s">
        <v>8776</v>
      </c>
      <c r="J437" s="507" t="s">
        <v>8777</v>
      </c>
      <c r="K437" s="507" t="s">
        <v>8778</v>
      </c>
      <c r="L437" s="507" t="s">
        <v>8779</v>
      </c>
      <c r="M437" s="507" t="s">
        <v>8780</v>
      </c>
      <c r="N437" s="507" t="s">
        <v>8781</v>
      </c>
    </row>
    <row r="438" spans="1:14" x14ac:dyDescent="0.3">
      <c r="A438" s="2" t="s">
        <v>8782</v>
      </c>
      <c r="B438" s="2" t="str">
        <f t="shared" si="10"/>
        <v>▪ Unité de mesure du convertisseur de masse :</v>
      </c>
      <c r="C438" s="2" t="s">
        <v>8783</v>
      </c>
      <c r="D438" s="501" t="s">
        <v>8784</v>
      </c>
      <c r="E438" s="501" t="s">
        <v>8785</v>
      </c>
      <c r="F438" s="501" t="s">
        <v>8786</v>
      </c>
      <c r="G438" s="508" t="s">
        <v>8787</v>
      </c>
      <c r="H438" s="508" t="s">
        <v>8788</v>
      </c>
      <c r="I438" s="2" t="s">
        <v>8789</v>
      </c>
      <c r="J438" s="507" t="s">
        <v>8595</v>
      </c>
      <c r="K438" s="507" t="s">
        <v>8790</v>
      </c>
      <c r="L438" s="507" t="s">
        <v>8791</v>
      </c>
      <c r="M438" s="507" t="s">
        <v>8792</v>
      </c>
      <c r="N438" s="507" t="s">
        <v>8793</v>
      </c>
    </row>
    <row r="439" spans="1:14" x14ac:dyDescent="0.3">
      <c r="A439" s="2" t="s">
        <v>8794</v>
      </c>
      <c r="B439" s="2" t="str">
        <f t="shared" si="10"/>
        <v>▪ Unité de mesure du convertisseur de volume :</v>
      </c>
      <c r="C439" s="2" t="s">
        <v>8795</v>
      </c>
      <c r="D439" s="501" t="s">
        <v>8796</v>
      </c>
      <c r="E439" s="501" t="s">
        <v>8797</v>
      </c>
      <c r="F439" s="501" t="s">
        <v>8798</v>
      </c>
      <c r="G439" s="508" t="s">
        <v>8799</v>
      </c>
      <c r="H439" s="508" t="s">
        <v>8800</v>
      </c>
      <c r="I439" s="2" t="s">
        <v>8801</v>
      </c>
      <c r="J439" s="507" t="s">
        <v>8608</v>
      </c>
      <c r="K439" s="507" t="s">
        <v>8802</v>
      </c>
      <c r="L439" s="507" t="s">
        <v>8803</v>
      </c>
      <c r="M439" s="507" t="s">
        <v>8804</v>
      </c>
      <c r="N439" s="507" t="s">
        <v>8805</v>
      </c>
    </row>
    <row r="440" spans="1:14" x14ac:dyDescent="0.3">
      <c r="A440" s="2" t="s">
        <v>8806</v>
      </c>
      <c r="B440" s="2" t="str">
        <f t="shared" si="10"/>
        <v>▪ Unité de mesure du convertisseur d'énergie :</v>
      </c>
      <c r="C440" s="2" t="s">
        <v>8807</v>
      </c>
      <c r="D440" s="501" t="s">
        <v>8808</v>
      </c>
      <c r="E440" s="501" t="s">
        <v>8809</v>
      </c>
      <c r="F440" s="501" t="s">
        <v>8810</v>
      </c>
      <c r="G440" s="508" t="s">
        <v>8811</v>
      </c>
      <c r="H440" s="508" t="s">
        <v>8812</v>
      </c>
      <c r="I440" s="2" t="s">
        <v>8813</v>
      </c>
      <c r="J440" s="507" t="s">
        <v>8814</v>
      </c>
      <c r="K440" s="507" t="s">
        <v>8815</v>
      </c>
      <c r="L440" s="507" t="s">
        <v>8816</v>
      </c>
      <c r="M440" s="507" t="s">
        <v>8817</v>
      </c>
      <c r="N440" s="507" t="s">
        <v>8818</v>
      </c>
    </row>
    <row r="441" spans="1:14" x14ac:dyDescent="0.3">
      <c r="A441" s="2" t="s">
        <v>8819</v>
      </c>
      <c r="B441" s="2" t="str">
        <f t="shared" si="10"/>
        <v>▪ Unité de mesure du convertisseur de densité :</v>
      </c>
      <c r="C441" s="2" t="s">
        <v>8820</v>
      </c>
      <c r="D441" s="501" t="s">
        <v>8821</v>
      </c>
      <c r="E441" s="501" t="s">
        <v>8822</v>
      </c>
      <c r="F441" s="501" t="s">
        <v>8823</v>
      </c>
      <c r="G441" s="508" t="s">
        <v>8824</v>
      </c>
      <c r="H441" s="508" t="s">
        <v>8825</v>
      </c>
      <c r="I441" s="2" t="s">
        <v>8826</v>
      </c>
      <c r="J441" s="507" t="s">
        <v>8673</v>
      </c>
      <c r="K441" s="507" t="s">
        <v>8827</v>
      </c>
      <c r="L441" s="507" t="s">
        <v>8828</v>
      </c>
      <c r="M441" s="507" t="s">
        <v>8829</v>
      </c>
      <c r="N441" s="507" t="s">
        <v>8830</v>
      </c>
    </row>
    <row r="442" spans="1:14" x14ac:dyDescent="0.3">
      <c r="A442" s="2" t="s">
        <v>8831</v>
      </c>
      <c r="B442" s="2" t="str">
        <f t="shared" si="10"/>
        <v>▪ Unité de mesure du convertisseur PCN :</v>
      </c>
      <c r="C442" s="2" t="s">
        <v>8832</v>
      </c>
      <c r="D442" s="501" t="s">
        <v>8833</v>
      </c>
      <c r="E442" s="501" t="s">
        <v>8834</v>
      </c>
      <c r="F442" s="501" t="s">
        <v>8835</v>
      </c>
      <c r="G442" s="508" t="s">
        <v>8836</v>
      </c>
      <c r="H442" s="508" t="s">
        <v>8837</v>
      </c>
      <c r="I442" s="2" t="s">
        <v>8838</v>
      </c>
      <c r="J442" s="507" t="s">
        <v>8634</v>
      </c>
      <c r="K442" s="507" t="s">
        <v>8839</v>
      </c>
      <c r="L442" s="507" t="s">
        <v>8840</v>
      </c>
      <c r="M442" s="507" t="s">
        <v>8841</v>
      </c>
      <c r="N442" s="507" t="s">
        <v>8842</v>
      </c>
    </row>
    <row r="443" spans="1:14" ht="43.8" thickBot="1" x14ac:dyDescent="0.35">
      <c r="A443" s="513" t="s">
        <v>8843</v>
      </c>
      <c r="B443" s="513" t="str">
        <f t="shared" si="10"/>
        <v>Des étapes similaires, avec la spécification de la dénitie, peuvent être appliquées à la dernière table pour la conversion de Mass en Volumer (ou inversement).</v>
      </c>
      <c r="C443" s="513" t="s">
        <v>8844</v>
      </c>
      <c r="D443" s="509" t="s">
        <v>8845</v>
      </c>
      <c r="E443" s="509" t="s">
        <v>8846</v>
      </c>
      <c r="F443" s="509" t="s">
        <v>8847</v>
      </c>
      <c r="G443" s="509" t="s">
        <v>8848</v>
      </c>
      <c r="H443" s="509" t="s">
        <v>8849</v>
      </c>
      <c r="I443" s="509" t="s">
        <v>8850</v>
      </c>
      <c r="J443" s="509" t="s">
        <v>8851</v>
      </c>
      <c r="K443" s="509" t="s">
        <v>8852</v>
      </c>
      <c r="L443" s="509" t="s">
        <v>8853</v>
      </c>
      <c r="M443" s="509" t="s">
        <v>8854</v>
      </c>
      <c r="N443" s="509" t="s">
        <v>8855</v>
      </c>
    </row>
    <row r="444" spans="1:14" x14ac:dyDescent="0.3">
      <c r="A444" s="2" t="s">
        <v>8856</v>
      </c>
      <c r="B444" s="2" t="str">
        <f t="shared" si="10"/>
        <v>INCOMPLET</v>
      </c>
      <c r="C444" s="2" t="s">
        <v>8857</v>
      </c>
      <c r="D444" s="501" t="s">
        <v>8858</v>
      </c>
      <c r="E444" s="501" t="s">
        <v>8859</v>
      </c>
      <c r="F444" s="501" t="s">
        <v>8860</v>
      </c>
      <c r="G444" s="508" t="s">
        <v>8861</v>
      </c>
      <c r="H444" s="508" t="s">
        <v>8862</v>
      </c>
      <c r="I444" s="2" t="s">
        <v>8863</v>
      </c>
      <c r="J444" s="507" t="s">
        <v>8864</v>
      </c>
      <c r="K444" s="507" t="s">
        <v>8865</v>
      </c>
      <c r="L444" s="507" t="s">
        <v>8863</v>
      </c>
      <c r="M444" s="507" t="s">
        <v>8866</v>
      </c>
      <c r="N444" s="507" t="s">
        <v>8863</v>
      </c>
    </row>
    <row r="445" spans="1:14" ht="28.8" x14ac:dyDescent="0.3">
      <c r="A445" s="2" t="s">
        <v>8867</v>
      </c>
      <c r="B445" s="2" t="str">
        <f t="shared" si="10"/>
        <v>COMPLET</v>
      </c>
      <c r="C445" s="2" t="s">
        <v>8868</v>
      </c>
      <c r="D445" s="501" t="s">
        <v>8869</v>
      </c>
      <c r="E445" s="501" t="s">
        <v>8870</v>
      </c>
      <c r="F445" s="501" t="s">
        <v>8871</v>
      </c>
      <c r="G445" s="508" t="s">
        <v>8872</v>
      </c>
      <c r="H445" s="508" t="s">
        <v>8873</v>
      </c>
      <c r="I445" s="2" t="s">
        <v>8874</v>
      </c>
      <c r="J445" s="507" t="s">
        <v>8875</v>
      </c>
      <c r="K445" s="507" t="s">
        <v>8876</v>
      </c>
      <c r="L445" s="507" t="s">
        <v>8874</v>
      </c>
      <c r="M445" s="507" t="s">
        <v>8877</v>
      </c>
      <c r="N445" s="507" t="s">
        <v>8874</v>
      </c>
    </row>
    <row r="446" spans="1:14" ht="43.2" x14ac:dyDescent="0.3">
      <c r="A446" s="2" t="s">
        <v>8878</v>
      </c>
      <c r="B446" s="2" t="str">
        <f t="shared" si="10"/>
        <v>VALEUR MANQUANTE</v>
      </c>
      <c r="C446" s="2" t="s">
        <v>8879</v>
      </c>
      <c r="D446" s="501" t="s">
        <v>8880</v>
      </c>
      <c r="E446" s="501" t="s">
        <v>8881</v>
      </c>
      <c r="F446" s="501" t="s">
        <v>8882</v>
      </c>
      <c r="G446" s="508" t="s">
        <v>8883</v>
      </c>
      <c r="H446" s="508" t="s">
        <v>8884</v>
      </c>
      <c r="I446" s="2" t="s">
        <v>8885</v>
      </c>
      <c r="J446" s="507" t="s">
        <v>8886</v>
      </c>
      <c r="K446" s="507" t="s">
        <v>8887</v>
      </c>
      <c r="L446" s="507" t="s">
        <v>8888</v>
      </c>
      <c r="M446" s="507" t="s">
        <v>8889</v>
      </c>
      <c r="N446" s="507" t="s">
        <v>8890</v>
      </c>
    </row>
    <row r="447" spans="1:14" x14ac:dyDescent="0.3">
      <c r="A447" s="2" t="s">
        <v>8891</v>
      </c>
      <c r="B447" s="2" t="str">
        <f t="shared" si="10"/>
        <v>ERREUR</v>
      </c>
      <c r="C447" s="2" t="s">
        <v>8892</v>
      </c>
      <c r="D447" s="501" t="s">
        <v>8893</v>
      </c>
      <c r="E447" s="501" t="s">
        <v>8894</v>
      </c>
      <c r="F447" s="501" t="s">
        <v>8895</v>
      </c>
      <c r="G447" s="508" t="s">
        <v>8896</v>
      </c>
      <c r="H447" s="508" t="s">
        <v>8897</v>
      </c>
      <c r="I447" s="2" t="s">
        <v>8898</v>
      </c>
      <c r="J447" s="507" t="s">
        <v>8899</v>
      </c>
      <c r="K447" s="507" t="s">
        <v>8900</v>
      </c>
      <c r="L447" s="507" t="s">
        <v>8901</v>
      </c>
      <c r="M447" s="507" t="s">
        <v>8902</v>
      </c>
      <c r="N447" s="507" t="s">
        <v>8892</v>
      </c>
    </row>
    <row r="448" spans="1:14" ht="43.2" x14ac:dyDescent="0.3">
      <c r="A448" s="2" t="s">
        <v>8903</v>
      </c>
      <c r="B448" s="2" t="str">
        <f t="shared" si="10"/>
        <v>VALEUR INCOHÉRENTE</v>
      </c>
      <c r="C448" s="2" t="s">
        <v>8904</v>
      </c>
      <c r="D448" s="501" t="s">
        <v>8905</v>
      </c>
      <c r="E448" s="501" t="s">
        <v>8906</v>
      </c>
      <c r="F448" s="501" t="s">
        <v>8907</v>
      </c>
      <c r="G448" s="508" t="s">
        <v>8908</v>
      </c>
      <c r="H448" s="508" t="s">
        <v>8909</v>
      </c>
      <c r="I448" s="2" t="s">
        <v>8910</v>
      </c>
      <c r="J448" s="507" t="s">
        <v>8911</v>
      </c>
      <c r="K448" s="507" t="s">
        <v>8912</v>
      </c>
      <c r="L448" s="507" t="s">
        <v>8913</v>
      </c>
      <c r="M448" s="507" t="s">
        <v>8914</v>
      </c>
      <c r="N448" s="507" t="s">
        <v>8915</v>
      </c>
    </row>
    <row r="449" spans="1:14" x14ac:dyDescent="0.3">
      <c r="A449" s="2" t="s">
        <v>8916</v>
      </c>
      <c r="B449" s="2" t="str">
        <f t="shared" si="10"/>
        <v>ERREUR + VALEUR INCOHÉRENTE</v>
      </c>
      <c r="C449" s="2" t="s">
        <v>8917</v>
      </c>
      <c r="D449" s="501" t="s">
        <v>8918</v>
      </c>
      <c r="E449" s="501" t="s">
        <v>8919</v>
      </c>
      <c r="F449" s="501" t="s">
        <v>8920</v>
      </c>
      <c r="G449" s="508" t="s">
        <v>8921</v>
      </c>
      <c r="H449" s="508" t="s">
        <v>8922</v>
      </c>
      <c r="I449" s="2" t="s">
        <v>8923</v>
      </c>
      <c r="J449" s="507" t="s">
        <v>8924</v>
      </c>
      <c r="K449" s="507" t="s">
        <v>8925</v>
      </c>
      <c r="L449" s="507" t="s">
        <v>8926</v>
      </c>
      <c r="M449" s="507" t="s">
        <v>8927</v>
      </c>
      <c r="N449" s="507" t="s">
        <v>8928</v>
      </c>
    </row>
    <row r="450" spans="1:14" ht="28.8" x14ac:dyDescent="0.3">
      <c r="A450" s="2" t="s">
        <v>8929</v>
      </c>
      <c r="B450" s="2" t="str">
        <f t="shared" si="10"/>
        <v>ERREUR + VALEUR MANQUANTE + VALEUR INCOHÉRENTE</v>
      </c>
      <c r="C450" s="2" t="s">
        <v>8930</v>
      </c>
      <c r="D450" s="501" t="s">
        <v>8931</v>
      </c>
      <c r="E450" s="501" t="s">
        <v>8932</v>
      </c>
      <c r="F450" s="501" t="s">
        <v>8933</v>
      </c>
      <c r="G450" s="508" t="s">
        <v>8934</v>
      </c>
      <c r="H450" s="508" t="s">
        <v>8935</v>
      </c>
      <c r="I450" s="2" t="s">
        <v>8936</v>
      </c>
      <c r="J450" s="507" t="s">
        <v>8937</v>
      </c>
      <c r="K450" s="507" t="s">
        <v>8938</v>
      </c>
      <c r="L450" s="507" t="s">
        <v>8939</v>
      </c>
      <c r="M450" s="507" t="s">
        <v>8940</v>
      </c>
      <c r="N450" s="507" t="s">
        <v>8941</v>
      </c>
    </row>
    <row r="451" spans="1:14" x14ac:dyDescent="0.3">
      <c r="A451" s="2" t="s">
        <v>8942</v>
      </c>
      <c r="B451" s="2" t="str">
        <f t="shared" si="10"/>
        <v>ERREUR + VALEUR MANQUANTE</v>
      </c>
      <c r="C451" s="2" t="s">
        <v>8943</v>
      </c>
      <c r="D451" s="501" t="s">
        <v>8944</v>
      </c>
      <c r="E451" s="501" t="s">
        <v>8945</v>
      </c>
      <c r="F451" s="501" t="s">
        <v>8946</v>
      </c>
      <c r="G451" s="508" t="s">
        <v>8947</v>
      </c>
      <c r="H451" s="508" t="s">
        <v>8948</v>
      </c>
      <c r="I451" s="2" t="s">
        <v>8949</v>
      </c>
      <c r="J451" s="507" t="s">
        <v>8950</v>
      </c>
      <c r="K451" s="507" t="s">
        <v>8951</v>
      </c>
      <c r="L451" s="507" t="s">
        <v>8952</v>
      </c>
      <c r="M451" s="507" t="s">
        <v>8953</v>
      </c>
      <c r="N451" s="507" t="s">
        <v>8954</v>
      </c>
    </row>
    <row r="452" spans="1:14" x14ac:dyDescent="0.3">
      <c r="A452" s="2" t="s">
        <v>8955</v>
      </c>
      <c r="B452" s="2" t="str">
        <f t="shared" si="10"/>
        <v>VALEUR MANQUANTE + VALEUR INCOHÉRENTE</v>
      </c>
      <c r="C452" s="2" t="s">
        <v>8956</v>
      </c>
      <c r="D452" s="501" t="s">
        <v>8957</v>
      </c>
      <c r="E452" s="501" t="s">
        <v>8958</v>
      </c>
      <c r="F452" s="501" t="s">
        <v>8959</v>
      </c>
      <c r="G452" s="508" t="s">
        <v>8960</v>
      </c>
      <c r="H452" s="508" t="s">
        <v>8961</v>
      </c>
      <c r="I452" s="2" t="s">
        <v>8962</v>
      </c>
      <c r="J452" s="507" t="s">
        <v>8963</v>
      </c>
      <c r="K452" s="507" t="s">
        <v>8964</v>
      </c>
      <c r="L452" s="507" t="s">
        <v>8965</v>
      </c>
      <c r="M452" s="507" t="s">
        <v>8966</v>
      </c>
      <c r="N452" s="507" t="s">
        <v>8967</v>
      </c>
    </row>
    <row r="453" spans="1:14" x14ac:dyDescent="0.3">
      <c r="A453" s="2" t="s">
        <v>8968</v>
      </c>
      <c r="B453" s="2" t="str">
        <f t="shared" si="10"/>
        <v>URL INVALIDE</v>
      </c>
      <c r="C453" s="2" t="s">
        <v>8969</v>
      </c>
      <c r="D453" s="501" t="s">
        <v>8970</v>
      </c>
      <c r="E453" s="501" t="s">
        <v>8971</v>
      </c>
      <c r="F453" s="501" t="s">
        <v>8972</v>
      </c>
      <c r="G453" s="508" t="s">
        <v>8973</v>
      </c>
      <c r="H453" s="508" t="s">
        <v>8974</v>
      </c>
      <c r="I453" s="2" t="s">
        <v>8975</v>
      </c>
      <c r="J453" s="507" t="s">
        <v>8976</v>
      </c>
      <c r="K453" s="507" t="s">
        <v>8977</v>
      </c>
      <c r="L453" s="507" t="s">
        <v>8978</v>
      </c>
      <c r="M453" s="507" t="s">
        <v>8979</v>
      </c>
      <c r="N453" s="507" t="s">
        <v>8980</v>
      </c>
    </row>
    <row r="454" spans="1:14" x14ac:dyDescent="0.3">
      <c r="A454" s="2" t="s">
        <v>8981</v>
      </c>
      <c r="B454" s="2" t="str">
        <f t="shared" si="10"/>
        <v>OK</v>
      </c>
      <c r="C454" s="2" t="s">
        <v>8982</v>
      </c>
      <c r="D454" s="501" t="s">
        <v>8982</v>
      </c>
      <c r="E454" s="501" t="s">
        <v>8982</v>
      </c>
      <c r="F454" s="501" t="s">
        <v>8982</v>
      </c>
      <c r="G454" s="508" t="s">
        <v>8982</v>
      </c>
      <c r="H454" s="508" t="s">
        <v>8983</v>
      </c>
      <c r="I454" s="2" t="s">
        <v>8982</v>
      </c>
      <c r="J454" s="507" t="s">
        <v>8984</v>
      </c>
      <c r="K454" s="507" t="s">
        <v>8982</v>
      </c>
      <c r="L454" s="507" t="s">
        <v>8982</v>
      </c>
      <c r="M454" s="507" t="s">
        <v>8985</v>
      </c>
      <c r="N454" s="507" t="s">
        <v>8986</v>
      </c>
    </row>
    <row r="455" spans="1:14" x14ac:dyDescent="0.3">
      <c r="A455" s="2" t="s">
        <v>8987</v>
      </c>
      <c r="B455" s="2" t="str">
        <f t="shared" si="10"/>
        <v>INFORMATIONS CLASSIFIÉES OU SENSIBLES</v>
      </c>
      <c r="C455" s="2" t="s">
        <v>8988</v>
      </c>
      <c r="D455" s="501" t="s">
        <v>8989</v>
      </c>
      <c r="E455" s="501" t="s">
        <v>8990</v>
      </c>
      <c r="F455" s="501" t="s">
        <v>8991</v>
      </c>
      <c r="G455" s="501" t="s">
        <v>8992</v>
      </c>
      <c r="H455" s="501" t="s">
        <v>8993</v>
      </c>
      <c r="I455" s="501" t="s">
        <v>8994</v>
      </c>
      <c r="J455" s="501" t="s">
        <v>8995</v>
      </c>
      <c r="K455" s="501" t="s">
        <v>8996</v>
      </c>
      <c r="L455" s="501" t="s">
        <v>8997</v>
      </c>
      <c r="M455" s="501" t="s">
        <v>8998</v>
      </c>
      <c r="N455" s="501" t="s">
        <v>8999</v>
      </c>
    </row>
    <row r="456" spans="1:14" ht="28.8" x14ac:dyDescent="0.3">
      <c r="A456" s="2" t="s">
        <v>9000</v>
      </c>
      <c r="B456" s="2" t="str">
        <f t="shared" si="10"/>
        <v>ℹ️ Combustible liquide : veuillez sélectionner une unité de mesure parmi m³ et L</v>
      </c>
      <c r="C456" s="2" t="s">
        <v>9001</v>
      </c>
      <c r="D456" s="501" t="s">
        <v>9002</v>
      </c>
      <c r="E456" s="501" t="s">
        <v>9003</v>
      </c>
      <c r="F456" s="501" t="s">
        <v>9004</v>
      </c>
      <c r="G456" s="508" t="s">
        <v>9005</v>
      </c>
      <c r="H456" s="508" t="s">
        <v>9006</v>
      </c>
      <c r="I456" s="2" t="s">
        <v>9007</v>
      </c>
      <c r="J456" s="507" t="s">
        <v>9008</v>
      </c>
      <c r="K456" s="507" t="s">
        <v>9009</v>
      </c>
      <c r="L456" s="507" t="s">
        <v>9010</v>
      </c>
      <c r="M456" s="507" t="s">
        <v>9011</v>
      </c>
      <c r="N456" s="507" t="s">
        <v>9012</v>
      </c>
    </row>
    <row r="457" spans="1:14" ht="28.8" x14ac:dyDescent="0.3">
      <c r="A457" s="2" t="s">
        <v>9013</v>
      </c>
      <c r="B457" s="2" t="str">
        <f t="shared" si="10"/>
        <v>ℹ️ Combustible solide : veuillez choisir une unité de mesure parmi Gg, t, Kg et g</v>
      </c>
      <c r="C457" s="2" t="s">
        <v>9014</v>
      </c>
      <c r="D457" s="501" t="s">
        <v>9015</v>
      </c>
      <c r="E457" s="501" t="s">
        <v>9016</v>
      </c>
      <c r="F457" s="501" t="s">
        <v>9017</v>
      </c>
      <c r="G457" s="508" t="s">
        <v>9018</v>
      </c>
      <c r="H457" s="508" t="s">
        <v>9019</v>
      </c>
      <c r="I457" s="2" t="s">
        <v>9020</v>
      </c>
      <c r="J457" s="507" t="s">
        <v>9021</v>
      </c>
      <c r="K457" s="507" t="s">
        <v>9022</v>
      </c>
      <c r="L457" s="507" t="s">
        <v>9023</v>
      </c>
      <c r="M457" s="507" t="s">
        <v>9024</v>
      </c>
      <c r="N457" s="507" t="s">
        <v>9025</v>
      </c>
    </row>
    <row r="458" spans="1:14" ht="28.8" x14ac:dyDescent="0.3">
      <c r="A458" s="2" t="s">
        <v>9026</v>
      </c>
      <c r="B458" s="2" t="str">
        <f t="shared" si="10"/>
        <v>ℹ️ Combustible gazeux : veuillez sélectionner une unité de mesure parmi m³ et L</v>
      </c>
      <c r="C458" s="2" t="s">
        <v>9027</v>
      </c>
      <c r="D458" s="501" t="s">
        <v>9028</v>
      </c>
      <c r="E458" s="501" t="s">
        <v>9029</v>
      </c>
      <c r="F458" s="501" t="s">
        <v>9030</v>
      </c>
      <c r="G458" s="508" t="s">
        <v>9031</v>
      </c>
      <c r="H458" s="508" t="s">
        <v>9032</v>
      </c>
      <c r="I458" s="2" t="s">
        <v>9033</v>
      </c>
      <c r="J458" s="507" t="s">
        <v>9034</v>
      </c>
      <c r="K458" s="507" t="s">
        <v>9035</v>
      </c>
      <c r="L458" s="507" t="s">
        <v>9036</v>
      </c>
      <c r="M458" s="507" t="s">
        <v>9037</v>
      </c>
      <c r="N458" s="507" t="s">
        <v>9038</v>
      </c>
    </row>
    <row r="459" spans="1:14" ht="100.8" x14ac:dyDescent="0.3">
      <c r="A459" s="2" t="s">
        <v>9039</v>
      </c>
      <c r="B459" s="2" t="str">
        <f t="shared" si="10"/>
        <v>ℹ️ L'identifiant de l'entreprise est un ID unique qui permet d'identifier l'entreprise ayant fourni les informations. La norme VSME ne requiert aucun identifiant spécifique. Un identifiant d'entreprise est nécessaire pour le reporting numérique.</v>
      </c>
      <c r="C459" s="2" t="s">
        <v>9040</v>
      </c>
      <c r="D459" s="501" t="s">
        <v>9041</v>
      </c>
      <c r="E459" s="501" t="s">
        <v>9042</v>
      </c>
      <c r="F459" s="501" t="s">
        <v>9043</v>
      </c>
      <c r="G459" s="508" t="s">
        <v>9044</v>
      </c>
      <c r="H459" s="508" t="s">
        <v>9045</v>
      </c>
      <c r="I459" s="2" t="s">
        <v>9046</v>
      </c>
      <c r="J459" s="507" t="s">
        <v>9047</v>
      </c>
      <c r="K459" s="507" t="s">
        <v>9048</v>
      </c>
      <c r="L459" s="507" t="s">
        <v>9049</v>
      </c>
      <c r="M459" s="507" t="s">
        <v>9050</v>
      </c>
      <c r="N459" s="507" t="s">
        <v>9051</v>
      </c>
    </row>
    <row r="460" spans="1:14" ht="72" x14ac:dyDescent="0.3">
      <c r="A460" s="2" t="s">
        <v>9052</v>
      </c>
      <c r="B460" s="2" t="str">
        <f t="shared" si="10"/>
        <v>ℹ️ Si un message VALEUR INCOHERENTE apparaît à droite, veuillez vous assurer que la date de fin de la période de reporting est postérieure à la date de début de la période de reporting.</v>
      </c>
      <c r="C460" s="2" t="s">
        <v>9053</v>
      </c>
      <c r="D460" s="501" t="s">
        <v>9054</v>
      </c>
      <c r="E460" s="501" t="s">
        <v>9055</v>
      </c>
      <c r="F460" s="501" t="s">
        <v>9056</v>
      </c>
      <c r="G460" s="508" t="s">
        <v>9057</v>
      </c>
      <c r="H460" s="508" t="s">
        <v>9058</v>
      </c>
      <c r="I460" s="2" t="s">
        <v>9059</v>
      </c>
      <c r="J460" s="507" t="s">
        <v>9060</v>
      </c>
      <c r="K460" s="507" t="s">
        <v>9061</v>
      </c>
      <c r="L460" s="507" t="s">
        <v>9062</v>
      </c>
      <c r="M460" s="507" t="s">
        <v>9063</v>
      </c>
      <c r="N460" s="507" t="s">
        <v>9064</v>
      </c>
    </row>
    <row r="461" spans="1:14" ht="72" x14ac:dyDescent="0.3">
      <c r="A461" s="2" t="s">
        <v>9065</v>
      </c>
      <c r="B461" s="2" t="str">
        <f t="shared" si="10"/>
        <v>ℹ️Les listes peuvent être déroulées à l’aide du bouton plus [+] situé à gauche. Si le nombre de lignes n’est pas suffisant, des lignes supplémentaires peuvent être ajoutées en cliquant avec le bouton droit sur la deuxième ligne et en sélectionnant « Insérer une ligne ».</v>
      </c>
      <c r="C461" s="2" t="s">
        <v>9066</v>
      </c>
      <c r="D461" s="501" t="s">
        <v>9067</v>
      </c>
      <c r="E461" s="501" t="s">
        <v>9068</v>
      </c>
      <c r="F461" s="501" t="s">
        <v>9069</v>
      </c>
      <c r="G461" s="508" t="s">
        <v>9070</v>
      </c>
      <c r="H461" s="508" t="s">
        <v>9071</v>
      </c>
      <c r="I461" s="2" t="s">
        <v>9072</v>
      </c>
      <c r="J461" s="507" t="s">
        <v>9073</v>
      </c>
      <c r="K461" s="507" t="s">
        <v>9074</v>
      </c>
      <c r="L461" s="507" t="s">
        <v>9075</v>
      </c>
      <c r="M461" s="507" t="s">
        <v>9076</v>
      </c>
      <c r="N461" s="507" t="s">
        <v>9077</v>
      </c>
    </row>
    <row r="462" spans="1:14" ht="57.6" x14ac:dyDescent="0.3">
      <c r="A462" s="2" t="s">
        <v>9078</v>
      </c>
      <c r="B462" s="2" t="str">
        <f t="shared" si="10"/>
        <v>ℹ️ Lorsque "autre" est choisi comme forme juridique de l'entreprise, veuillez remplir la ligne ci-dessous</v>
      </c>
      <c r="C462" s="2" t="s">
        <v>9079</v>
      </c>
      <c r="D462" s="501" t="s">
        <v>9080</v>
      </c>
      <c r="E462" s="501" t="s">
        <v>9081</v>
      </c>
      <c r="F462" s="501" t="s">
        <v>9082</v>
      </c>
      <c r="G462" s="508" t="s">
        <v>9083</v>
      </c>
      <c r="H462" s="508" t="s">
        <v>9084</v>
      </c>
      <c r="I462" s="2" t="s">
        <v>9085</v>
      </c>
      <c r="J462" s="507" t="s">
        <v>9086</v>
      </c>
      <c r="K462" s="507" t="s">
        <v>9087</v>
      </c>
      <c r="L462" s="507" t="s">
        <v>9088</v>
      </c>
      <c r="M462" s="507" t="s">
        <v>9089</v>
      </c>
      <c r="N462" s="507" t="s">
        <v>9090</v>
      </c>
    </row>
    <row r="463" spans="1:14" ht="57.6" x14ac:dyDescent="0.3">
      <c r="A463" s="2" t="s">
        <v>9091</v>
      </c>
      <c r="B463" s="2" t="str">
        <f t="shared" si="10"/>
        <v>ℹ️ Veuillez sélectionner un code NACE plutôt qu'une catégorie, sinon un message d'ERREUR apparaîtra.</v>
      </c>
      <c r="C463" s="2" t="s">
        <v>9092</v>
      </c>
      <c r="D463" s="501" t="s">
        <v>9093</v>
      </c>
      <c r="E463" s="501" t="s">
        <v>9094</v>
      </c>
      <c r="F463" s="501" t="s">
        <v>9095</v>
      </c>
      <c r="G463" s="508" t="s">
        <v>9096</v>
      </c>
      <c r="H463" s="508" t="s">
        <v>9097</v>
      </c>
      <c r="I463" s="2" t="s">
        <v>9098</v>
      </c>
      <c r="J463" s="507" t="s">
        <v>9099</v>
      </c>
      <c r="K463" s="507" t="s">
        <v>9100</v>
      </c>
      <c r="L463" s="507" t="s">
        <v>9101</v>
      </c>
      <c r="M463" s="507" t="s">
        <v>9102</v>
      </c>
      <c r="N463" s="507" t="s">
        <v>9103</v>
      </c>
    </row>
    <row r="464" spans="1:14" ht="43.2" x14ac:dyDescent="0.3">
      <c r="A464" s="2" t="s">
        <v>9104</v>
      </c>
      <c r="B464" s="2" t="str">
        <f t="shared" si="10"/>
        <v>ℹ️ Veuillez faire attention à séparer chaque numéro de rue et numéro de maison en utilisant le symbole slash "/" et non la virgule ","</v>
      </c>
      <c r="C464" s="2" t="s">
        <v>9105</v>
      </c>
      <c r="D464" s="501" t="s">
        <v>9106</v>
      </c>
      <c r="E464" s="501" t="s">
        <v>9107</v>
      </c>
      <c r="F464" s="501" t="s">
        <v>9108</v>
      </c>
      <c r="G464" s="508" t="s">
        <v>9109</v>
      </c>
      <c r="H464" s="508" t="s">
        <v>9110</v>
      </c>
      <c r="I464" s="2" t="s">
        <v>9111</v>
      </c>
      <c r="J464" s="507" t="s">
        <v>9112</v>
      </c>
      <c r="K464" s="507" t="s">
        <v>9113</v>
      </c>
      <c r="L464" s="507" t="s">
        <v>9114</v>
      </c>
      <c r="M464" s="507" t="s">
        <v>9115</v>
      </c>
      <c r="N464" s="507" t="s">
        <v>9116</v>
      </c>
    </row>
    <row r="465" spans="1:14" ht="43.2" x14ac:dyDescent="0.3">
      <c r="A465" s="2" t="s">
        <v>9117</v>
      </c>
      <c r="B465" s="2" t="str">
        <f t="shared" si="10"/>
        <v>ℹ️ Veuillez noter que la formule présente dans cette cellule peut être écrasée si l'entité souhaite fournir directement la valeur.</v>
      </c>
      <c r="C465" s="2" t="s">
        <v>9118</v>
      </c>
      <c r="D465" s="501" t="s">
        <v>9119</v>
      </c>
      <c r="E465" s="501" t="s">
        <v>9120</v>
      </c>
      <c r="F465" s="501" t="s">
        <v>9121</v>
      </c>
      <c r="G465" s="508" t="s">
        <v>9122</v>
      </c>
      <c r="H465" s="508" t="s">
        <v>9123</v>
      </c>
      <c r="I465" s="2" t="s">
        <v>9124</v>
      </c>
      <c r="J465" s="507" t="s">
        <v>9125</v>
      </c>
      <c r="K465" s="507" t="s">
        <v>9126</v>
      </c>
      <c r="L465" s="507" t="s">
        <v>9127</v>
      </c>
      <c r="M465" s="507" t="s">
        <v>9128</v>
      </c>
      <c r="N465" s="507" t="s">
        <v>9129</v>
      </c>
    </row>
    <row r="466" spans="1:14" ht="100.8" x14ac:dyDescent="0.3">
      <c r="A466" s="2" t="s">
        <v>9130</v>
      </c>
      <c r="B466" s="2" t="str">
        <f t="shared" si="10"/>
        <v xml:space="preserve">ℹ️ Les catégories du scope 3 selon le protocole GES (GHG Protocol) peuvent aider à calculer les émissions totales de GES du scope 3. Si l'entreprise le souhaite, elle peut directement fournir les émissions totales de GES du scope 3 dans la cellule correspondante. </v>
      </c>
      <c r="C466" s="2" t="s">
        <v>9131</v>
      </c>
      <c r="D466" s="501" t="s">
        <v>9132</v>
      </c>
      <c r="E466" s="501" t="s">
        <v>9133</v>
      </c>
      <c r="F466" s="501" t="s">
        <v>9134</v>
      </c>
      <c r="G466" s="508" t="s">
        <v>9135</v>
      </c>
      <c r="H466" s="508" t="s">
        <v>9136</v>
      </c>
      <c r="I466" s="2" t="s">
        <v>9137</v>
      </c>
      <c r="J466" s="507" t="s">
        <v>9138</v>
      </c>
      <c r="K466" s="507" t="s">
        <v>9139</v>
      </c>
      <c r="L466" s="507" t="s">
        <v>9140</v>
      </c>
      <c r="M466" s="507" t="s">
        <v>9141</v>
      </c>
      <c r="N466" s="507" t="s">
        <v>9142</v>
      </c>
    </row>
    <row r="467" spans="1:14" ht="57.6" x14ac:dyDescent="0.3">
      <c r="A467" s="2" t="s">
        <v>9143</v>
      </c>
      <c r="B467" s="2" t="str">
        <f t="shared" si="10"/>
        <v>ℹ️ Si une validation liée à une incohérence de valeur s'affiche, veuillez sélectionner un identifiant de site différent de ceux précédemment sélectionnés.</v>
      </c>
      <c r="C467" s="2" t="s">
        <v>9144</v>
      </c>
      <c r="D467" s="501" t="s">
        <v>9145</v>
      </c>
      <c r="E467" s="501" t="s">
        <v>9146</v>
      </c>
      <c r="F467" s="501" t="s">
        <v>9147</v>
      </c>
      <c r="G467" s="508" t="s">
        <v>9148</v>
      </c>
      <c r="H467" s="508" t="s">
        <v>9149</v>
      </c>
      <c r="I467" s="2" t="s">
        <v>9150</v>
      </c>
      <c r="J467" s="507" t="s">
        <v>9151</v>
      </c>
      <c r="K467" s="507" t="s">
        <v>9152</v>
      </c>
      <c r="L467" s="507" t="s">
        <v>9153</v>
      </c>
      <c r="M467" s="507" t="s">
        <v>9154</v>
      </c>
      <c r="N467" s="507" t="s">
        <v>9155</v>
      </c>
    </row>
    <row r="468" spans="1:14" ht="57.6" x14ac:dyDescent="0.3">
      <c r="A468" s="2" t="s">
        <v>9156</v>
      </c>
      <c r="B468" s="2" t="str">
        <f t="shared" si="10"/>
        <v xml:space="preserve">ℹ️ Veuillez sélectionner un Type de déchet (dangereux ou non dangereux) plutôt qu'une catégorie, sinon un message d'ERREUR apparaîtra."
</v>
      </c>
      <c r="C468" s="2" t="s">
        <v>9157</v>
      </c>
      <c r="D468" s="501" t="s">
        <v>9158</v>
      </c>
      <c r="E468" s="501" t="s">
        <v>9159</v>
      </c>
      <c r="F468" s="501" t="s">
        <v>9160</v>
      </c>
      <c r="G468" s="508" t="s">
        <v>9161</v>
      </c>
      <c r="H468" s="508" t="s">
        <v>9162</v>
      </c>
      <c r="I468" s="2" t="s">
        <v>9163</v>
      </c>
      <c r="J468" s="507" t="s">
        <v>9164</v>
      </c>
      <c r="K468" s="507" t="s">
        <v>9165</v>
      </c>
      <c r="L468" s="507" t="s">
        <v>9166</v>
      </c>
      <c r="M468" s="507" t="s">
        <v>9167</v>
      </c>
      <c r="N468" s="507" t="s">
        <v>9168</v>
      </c>
    </row>
    <row r="469" spans="1:14" ht="72" x14ac:dyDescent="0.3">
      <c r="A469" s="2" t="s">
        <v>9169</v>
      </c>
      <c r="B469" s="2" t="str">
        <f t="shared" si="10"/>
        <v>ℹ️ Veuillez vous assurer que le nombre total de salariés est identique à celui indiqué dans la cellule E55 de la feuille « Informations générales »</v>
      </c>
      <c r="C469" s="2" t="s">
        <v>9170</v>
      </c>
      <c r="D469" s="501" t="s">
        <v>9171</v>
      </c>
      <c r="E469" s="501" t="s">
        <v>9172</v>
      </c>
      <c r="F469" s="501" t="s">
        <v>9173</v>
      </c>
      <c r="G469" s="508" t="s">
        <v>9174</v>
      </c>
      <c r="H469" s="508" t="s">
        <v>9175</v>
      </c>
      <c r="I469" s="2" t="s">
        <v>9176</v>
      </c>
      <c r="J469" s="507" t="s">
        <v>9177</v>
      </c>
      <c r="K469" s="507" t="s">
        <v>9178</v>
      </c>
      <c r="L469" s="507" t="s">
        <v>9179</v>
      </c>
      <c r="M469" s="507" t="s">
        <v>9180</v>
      </c>
      <c r="N469" s="507" t="s">
        <v>9181</v>
      </c>
    </row>
    <row r="470" spans="1:14" ht="100.8" x14ac:dyDescent="0.3">
      <c r="A470" s="2" t="s">
        <v>9182</v>
      </c>
      <c r="B470" s="2" t="str">
        <f t="shared" si="10"/>
        <v>ℹ️ L'entreprise peut modifier la valeur de cette cellule car 2 000 heures est basé sur l'hypothèse qu'un travailleur à temps plein travaille 2 000 heures par an. Ce chiffre peut varier selon le pays ou le secteur, en fonction des règles nationales ou des conventions collectives</v>
      </c>
      <c r="C470" s="2" t="s">
        <v>9183</v>
      </c>
      <c r="D470" s="501" t="s">
        <v>9184</v>
      </c>
      <c r="E470" s="501" t="s">
        <v>9185</v>
      </c>
      <c r="F470" s="501" t="s">
        <v>9186</v>
      </c>
      <c r="G470" s="508" t="s">
        <v>9187</v>
      </c>
      <c r="H470" s="508" t="s">
        <v>9188</v>
      </c>
      <c r="I470" s="2" t="s">
        <v>9189</v>
      </c>
      <c r="J470" s="507" t="s">
        <v>9190</v>
      </c>
      <c r="K470" s="507" t="s">
        <v>9191</v>
      </c>
      <c r="L470" s="507" t="s">
        <v>9192</v>
      </c>
      <c r="M470" s="507" t="s">
        <v>9193</v>
      </c>
      <c r="N470" s="507" t="s">
        <v>9194</v>
      </c>
    </row>
    <row r="471" spans="1:14" ht="43.2" x14ac:dyDescent="0.3">
      <c r="A471" s="2" t="s">
        <v>9195</v>
      </c>
      <c r="B471" s="2" t="str">
        <f t="shared" si="10"/>
        <v>ℹ️  Chaque fois qu’une divulgation est complètement omise parce qu’elle est sensible ou classifiée, elle sera surlignée en gras</v>
      </c>
      <c r="C471" s="2" t="s">
        <v>9196</v>
      </c>
      <c r="D471" s="501" t="s">
        <v>9197</v>
      </c>
      <c r="E471" s="501" t="s">
        <v>9198</v>
      </c>
      <c r="F471" s="501" t="s">
        <v>9199</v>
      </c>
      <c r="G471" s="501" t="s">
        <v>9200</v>
      </c>
      <c r="H471" s="501" t="s">
        <v>9201</v>
      </c>
      <c r="I471" s="501" t="s">
        <v>9202</v>
      </c>
      <c r="J471" s="501" t="s">
        <v>9203</v>
      </c>
      <c r="K471" s="501" t="s">
        <v>9204</v>
      </c>
      <c r="L471" s="501" t="s">
        <v>9205</v>
      </c>
      <c r="M471" s="501" t="s">
        <v>9206</v>
      </c>
      <c r="N471" s="501" t="s">
        <v>9207</v>
      </c>
    </row>
    <row r="472" spans="1:14" ht="43.8" thickBot="1" x14ac:dyDescent="0.35">
      <c r="A472" s="513" t="s">
        <v>9208</v>
      </c>
      <c r="B472" s="513" t="str">
        <f t="shared" si="10"/>
        <v>ℹ️ Consultez le site web de l’EFRAG pour une liste non exhaustive de calculateurs de GES.</v>
      </c>
      <c r="C472" s="513" t="s">
        <v>9209</v>
      </c>
      <c r="D472" s="509" t="s">
        <v>9210</v>
      </c>
      <c r="E472" s="509" t="s">
        <v>9211</v>
      </c>
      <c r="F472" s="513" t="s">
        <v>9212</v>
      </c>
      <c r="G472" s="513" t="s">
        <v>9213</v>
      </c>
      <c r="H472" s="513" t="s">
        <v>9214</v>
      </c>
      <c r="I472" s="513" t="s">
        <v>9215</v>
      </c>
      <c r="J472" s="513" t="s">
        <v>9216</v>
      </c>
      <c r="K472" s="513" t="s">
        <v>9217</v>
      </c>
      <c r="L472" s="513" t="s">
        <v>9218</v>
      </c>
      <c r="M472" s="513" t="s">
        <v>9219</v>
      </c>
      <c r="N472" s="513" t="s">
        <v>9220</v>
      </c>
    </row>
    <row r="473" spans="1:14" ht="43.2" x14ac:dyDescent="0.3">
      <c r="A473" s="2" t="s">
        <v>9221</v>
      </c>
      <c r="B473" s="346" t="str">
        <f t="shared" si="10"/>
        <v>ℹ️ Directives de soutien VSME sur la divulgation C2 - Module complet (Pratiques, politiques et initiatives futures)</v>
      </c>
      <c r="C473" s="2" t="s">
        <v>9222</v>
      </c>
      <c r="D473" s="501" t="s">
        <v>9223</v>
      </c>
      <c r="E473" s="501" t="s">
        <v>9224</v>
      </c>
      <c r="F473" s="501" t="s">
        <v>9225</v>
      </c>
      <c r="G473" s="501" t="s">
        <v>9226</v>
      </c>
      <c r="H473" s="501" t="s">
        <v>9227</v>
      </c>
      <c r="I473" s="501" t="s">
        <v>9228</v>
      </c>
      <c r="J473" s="501" t="s">
        <v>9229</v>
      </c>
      <c r="K473" s="501" t="s">
        <v>9230</v>
      </c>
      <c r="L473" s="501" t="s">
        <v>9231</v>
      </c>
      <c r="M473" s="501" t="s">
        <v>9232</v>
      </c>
      <c r="N473" s="501" t="s">
        <v>9233</v>
      </c>
    </row>
    <row r="474" spans="1:14" ht="43.2" x14ac:dyDescent="0.3">
      <c r="A474" s="2" t="s">
        <v>9234</v>
      </c>
      <c r="B474" s="346" t="str">
        <f t="shared" si="10"/>
        <v>ℹ️ Guide de soutien VSME sur la divulgation C3 – Module complet (objectifs de réduction des GES et transition climatique)</v>
      </c>
      <c r="C474" s="2" t="s">
        <v>9235</v>
      </c>
      <c r="D474" s="501" t="s">
        <v>9236</v>
      </c>
      <c r="E474" s="501" t="s">
        <v>9237</v>
      </c>
      <c r="F474" s="501" t="s">
        <v>9238</v>
      </c>
      <c r="G474" s="501" t="s">
        <v>9239</v>
      </c>
      <c r="H474" s="501" t="s">
        <v>9240</v>
      </c>
      <c r="I474" s="501" t="s">
        <v>9241</v>
      </c>
      <c r="J474" s="501" t="s">
        <v>9242</v>
      </c>
      <c r="K474" s="501" t="s">
        <v>9243</v>
      </c>
      <c r="L474" s="501" t="s">
        <v>9244</v>
      </c>
      <c r="M474" s="501" t="s">
        <v>9245</v>
      </c>
      <c r="N474" s="501" t="s">
        <v>9246</v>
      </c>
    </row>
    <row r="475" spans="1:14" ht="43.2" x14ac:dyDescent="0.3">
      <c r="A475" s="2" t="s">
        <v>9247</v>
      </c>
      <c r="B475" s="346" t="str">
        <f t="shared" si="10"/>
        <v>ℹ️ Guide de soutien VSME à la divulgation C7 – Module complet (Incidents graves négatifs liés aux droits de l’homme (paragraphe 62(c))</v>
      </c>
      <c r="C475" s="2" t="s">
        <v>9248</v>
      </c>
      <c r="D475" s="501" t="s">
        <v>9249</v>
      </c>
      <c r="E475" s="501" t="s">
        <v>9250</v>
      </c>
      <c r="F475" s="501" t="s">
        <v>9251</v>
      </c>
      <c r="G475" s="501" t="s">
        <v>9252</v>
      </c>
      <c r="H475" s="501" t="s">
        <v>9253</v>
      </c>
      <c r="I475" s="501" t="s">
        <v>9254</v>
      </c>
      <c r="J475" s="501" t="s">
        <v>9255</v>
      </c>
      <c r="K475" s="501" t="s">
        <v>9256</v>
      </c>
      <c r="L475" s="501" t="s">
        <v>9257</v>
      </c>
      <c r="M475" s="501" t="s">
        <v>9258</v>
      </c>
      <c r="N475" s="501" t="s">
        <v>9259</v>
      </c>
    </row>
    <row r="476" spans="1:14" ht="72" x14ac:dyDescent="0.3">
      <c r="A476" s="2" t="s">
        <v>9260</v>
      </c>
      <c r="B476" s="346" t="str">
        <f t="shared" ref="B476:B489" si="11">INDEX(C476:N476,MATCH(template_selected_display_language,$C$3:$N$3,0))</f>
        <v>ℹ️ AVERTISSEMENT : Informations insérées dans le modèle numérique VSME mais marquées comme informations classifiées ou sensibles. Veuillez vous assurer de retirer ces informations du modèle numérique VSME, sinon elles seront converties dans le rapport Inline XBRL.</v>
      </c>
      <c r="C476" s="2" t="s">
        <v>9261</v>
      </c>
      <c r="D476" s="501" t="s">
        <v>9262</v>
      </c>
      <c r="E476" s="501" t="s">
        <v>9263</v>
      </c>
      <c r="F476" s="501" t="s">
        <v>9264</v>
      </c>
      <c r="G476" s="501" t="s">
        <v>9265</v>
      </c>
      <c r="H476" s="501" t="s">
        <v>9266</v>
      </c>
      <c r="I476" s="501" t="s">
        <v>9267</v>
      </c>
      <c r="J476" s="501" t="s">
        <v>9268</v>
      </c>
      <c r="K476" s="501" t="s">
        <v>9269</v>
      </c>
      <c r="L476" s="501" t="s">
        <v>9270</v>
      </c>
      <c r="M476" s="501" t="s">
        <v>9271</v>
      </c>
      <c r="N476" s="501" t="s">
        <v>9272</v>
      </c>
    </row>
    <row r="477" spans="1:14" ht="72" x14ac:dyDescent="0.3">
      <c r="A477" s="2" t="s">
        <v>9273</v>
      </c>
      <c r="B477" s="346" t="str">
        <f t="shared" si="11"/>
        <v>ℹ️ AVERTISSEMENT : Le modèle numérique a été développé et testé avec Microsoft Excel 365. Les fonctionnalités peuvent être limitées ou incorrectes lors de l’utilisation d’autres applications de tableaux Excel ou d’anciennes versions d’Excel.</v>
      </c>
      <c r="C477" s="2" t="s">
        <v>9274</v>
      </c>
      <c r="D477" s="501" t="s">
        <v>9275</v>
      </c>
      <c r="E477" s="501" t="s">
        <v>9276</v>
      </c>
      <c r="F477" s="501" t="s">
        <v>9277</v>
      </c>
      <c r="G477" s="501" t="s">
        <v>9278</v>
      </c>
      <c r="H477" s="501" t="s">
        <v>9279</v>
      </c>
      <c r="I477" s="501" t="s">
        <v>9280</v>
      </c>
      <c r="J477" s="501" t="s">
        <v>9281</v>
      </c>
      <c r="K477" s="501" t="s">
        <v>9282</v>
      </c>
      <c r="L477" s="501" t="s">
        <v>9283</v>
      </c>
      <c r="M477" s="501" t="s">
        <v>9284</v>
      </c>
      <c r="N477" s="501" t="s">
        <v>9285</v>
      </c>
    </row>
    <row r="478" spans="1:14" ht="58.2" thickBot="1" x14ac:dyDescent="0.35">
      <c r="A478" s="513" t="s">
        <v>9286</v>
      </c>
      <c r="B478" s="557" t="str">
        <f>INDEX(C478:N478,MATCH(template_selected_display_language,$C$3:$N$3,0))</f>
        <v>ℹ️ Si nécessaire, les boutons d’extension de gauche peuvent être utilisés pour augmenter le nombre de lignes et associer la même note de bas de page à plusieurs divulgations</v>
      </c>
      <c r="C478" s="513" t="s">
        <v>9287</v>
      </c>
      <c r="D478" s="509" t="s">
        <v>9288</v>
      </c>
      <c r="E478" s="509" t="s">
        <v>9289</v>
      </c>
      <c r="F478" s="509" t="s">
        <v>9290</v>
      </c>
      <c r="G478" s="509" t="s">
        <v>9291</v>
      </c>
      <c r="H478" s="509" t="s">
        <v>9292</v>
      </c>
      <c r="I478" s="509" t="s">
        <v>9293</v>
      </c>
      <c r="J478" s="509" t="s">
        <v>9294</v>
      </c>
      <c r="K478" s="509" t="s">
        <v>9295</v>
      </c>
      <c r="L478" s="509" t="s">
        <v>9296</v>
      </c>
      <c r="M478" s="509" t="s">
        <v>9297</v>
      </c>
      <c r="N478" s="509" t="s">
        <v>9298</v>
      </c>
    </row>
    <row r="479" spans="1:14" x14ac:dyDescent="0.3">
      <c r="A479" s="2" t="s">
        <v>9299</v>
      </c>
      <c r="B479" s="346" t="str">
        <f t="shared" si="11"/>
        <v>Exemple de modèle numérique VSME</v>
      </c>
      <c r="C479" s="2" t="s">
        <v>9300</v>
      </c>
      <c r="D479" s="501" t="s">
        <v>9301</v>
      </c>
      <c r="E479" s="501" t="s">
        <v>9302</v>
      </c>
      <c r="F479" s="501" t="s">
        <v>9303</v>
      </c>
      <c r="G479" s="501" t="s">
        <v>9304</v>
      </c>
      <c r="H479" s="501" t="s">
        <v>9305</v>
      </c>
      <c r="I479" s="501" t="s">
        <v>9306</v>
      </c>
      <c r="J479" s="501" t="s">
        <v>9307</v>
      </c>
      <c r="K479" s="501" t="s">
        <v>9308</v>
      </c>
      <c r="L479" s="501" t="s">
        <v>9309</v>
      </c>
      <c r="M479" s="501" t="s">
        <v>9310</v>
      </c>
      <c r="N479" s="501" t="s">
        <v>9311</v>
      </c>
    </row>
    <row r="480" spans="1:14" ht="101.4" thickBot="1" x14ac:dyDescent="0.35">
      <c r="A480" s="513" t="s">
        <v>9312</v>
      </c>
      <c r="B480" s="557" t="str">
        <f t="shared" si="11"/>
        <v>Avertissement : Ce modèle Excel est destiné uniquement à des fins de démonstration. Toutes les entités, noms, données et informations associées contenues ici sont entièrement fictifs. Toute ressemblance avec de véritables entreprises ou individus est purement fortuite. Cet échantillon ne doit pas être interprété comme reflétant des données ou des entreprises réelles. Des entraînements.</v>
      </c>
      <c r="C480" s="513" t="s">
        <v>9313</v>
      </c>
      <c r="D480" s="509" t="s">
        <v>9314</v>
      </c>
      <c r="E480" s="509" t="s">
        <v>9315</v>
      </c>
      <c r="F480" s="509" t="s">
        <v>9316</v>
      </c>
      <c r="G480" s="509" t="s">
        <v>9317</v>
      </c>
      <c r="H480" s="509" t="s">
        <v>9318</v>
      </c>
      <c r="I480" s="509" t="s">
        <v>9319</v>
      </c>
      <c r="J480" s="509" t="s">
        <v>9320</v>
      </c>
      <c r="K480" s="509" t="s">
        <v>9321</v>
      </c>
      <c r="L480" s="509" t="s">
        <v>9322</v>
      </c>
      <c r="M480" s="509" t="s">
        <v>9323</v>
      </c>
      <c r="N480" s="509" t="s">
        <v>9324</v>
      </c>
    </row>
    <row r="481" spans="1:14" x14ac:dyDescent="0.3">
      <c r="A481" s="2" t="s">
        <v>9325</v>
      </c>
      <c r="B481" s="346" t="str">
        <f t="shared" si="11"/>
        <v>Masse</v>
      </c>
      <c r="C481" s="2" t="s">
        <v>100</v>
      </c>
      <c r="D481" s="501" t="s">
        <v>9326</v>
      </c>
      <c r="E481" s="501" t="s">
        <v>9327</v>
      </c>
      <c r="F481" s="2" t="s">
        <v>9326</v>
      </c>
      <c r="G481" s="2" t="s">
        <v>9326</v>
      </c>
      <c r="H481" s="2" t="s">
        <v>9328</v>
      </c>
      <c r="I481" s="2" t="s">
        <v>9327</v>
      </c>
      <c r="J481" s="2" t="s">
        <v>9329</v>
      </c>
      <c r="K481" s="2" t="s">
        <v>9330</v>
      </c>
      <c r="L481" s="2" t="s">
        <v>9327</v>
      </c>
      <c r="M481" s="2" t="s">
        <v>9331</v>
      </c>
      <c r="N481" s="2" t="s">
        <v>9331</v>
      </c>
    </row>
    <row r="482" spans="1:14" ht="15" thickBot="1" x14ac:dyDescent="0.35">
      <c r="A482" s="513" t="s">
        <v>9332</v>
      </c>
      <c r="B482" s="557" t="str">
        <f t="shared" si="11"/>
        <v>Volume</v>
      </c>
      <c r="C482" s="513" t="s">
        <v>101</v>
      </c>
      <c r="D482" s="509" t="s">
        <v>9333</v>
      </c>
      <c r="E482" s="509" t="s">
        <v>101</v>
      </c>
      <c r="F482" s="513" t="s">
        <v>101</v>
      </c>
      <c r="G482" s="513" t="s">
        <v>9334</v>
      </c>
      <c r="H482" s="513" t="s">
        <v>9335</v>
      </c>
      <c r="I482" s="513" t="s">
        <v>101</v>
      </c>
      <c r="J482" s="513" t="s">
        <v>9336</v>
      </c>
      <c r="K482" s="513" t="s">
        <v>9337</v>
      </c>
      <c r="L482" s="513" t="s">
        <v>101</v>
      </c>
      <c r="M482" s="513" t="s">
        <v>9338</v>
      </c>
      <c r="N482" s="513" t="s">
        <v>9334</v>
      </c>
    </row>
    <row r="483" spans="1:14" ht="15" thickBot="1" x14ac:dyDescent="0.35">
      <c r="A483" s="558" t="s">
        <v>9339</v>
      </c>
      <c r="B483" s="557" t="str">
        <f t="shared" si="11"/>
        <v>Aucun</v>
      </c>
      <c r="C483" s="558" t="s">
        <v>319</v>
      </c>
      <c r="D483" s="558" t="s">
        <v>9340</v>
      </c>
      <c r="E483" s="558" t="s">
        <v>9341</v>
      </c>
      <c r="F483" s="558" t="s">
        <v>9342</v>
      </c>
      <c r="G483" s="558" t="s">
        <v>9343</v>
      </c>
      <c r="H483" s="558" t="s">
        <v>9344</v>
      </c>
      <c r="I483" s="558" t="s">
        <v>9345</v>
      </c>
      <c r="J483" s="558" t="s">
        <v>9346</v>
      </c>
      <c r="K483" s="558" t="s">
        <v>9347</v>
      </c>
      <c r="L483" s="558" t="s">
        <v>9348</v>
      </c>
      <c r="M483" s="558" t="s">
        <v>9349</v>
      </c>
      <c r="N483" s="558" t="s">
        <v>9350</v>
      </c>
    </row>
    <row r="484" spans="1:14" ht="57.6" x14ac:dyDescent="0.3">
      <c r="A484" s="2" t="s">
        <v>9351</v>
      </c>
      <c r="B484" s="346" t="str">
        <f t="shared" si="11"/>
        <v>Si vous devez ajouter des notes de bas de page pour le modèle numérique VSME converti, veuillez sélectionner les divulgations dans la colonne E et écrire la note de bas de page correspondante dans la colonne C.</v>
      </c>
      <c r="C484" s="2" t="s">
        <v>9352</v>
      </c>
      <c r="D484" s="2" t="s">
        <v>9353</v>
      </c>
      <c r="E484" s="2" t="s">
        <v>9354</v>
      </c>
      <c r="F484" s="2" t="s">
        <v>9355</v>
      </c>
      <c r="G484" s="2" t="s">
        <v>9356</v>
      </c>
      <c r="H484" s="2" t="s">
        <v>9357</v>
      </c>
      <c r="I484" s="2" t="s">
        <v>9358</v>
      </c>
      <c r="J484" s="2" t="s">
        <v>9359</v>
      </c>
      <c r="K484" s="2" t="s">
        <v>9360</v>
      </c>
      <c r="L484" s="2" t="s">
        <v>9361</v>
      </c>
      <c r="M484" s="2" t="s">
        <v>9362</v>
      </c>
      <c r="N484" s="2" t="s">
        <v>9363</v>
      </c>
    </row>
    <row r="485" spans="1:14" x14ac:dyDescent="0.3">
      <c r="A485" s="2" t="s">
        <v>9364</v>
      </c>
      <c r="B485" s="346" t="str">
        <f t="shared" si="11"/>
        <v>ID de la note de bas de page</v>
      </c>
      <c r="C485" s="2" t="s">
        <v>9365</v>
      </c>
      <c r="D485" s="501" t="s">
        <v>9366</v>
      </c>
      <c r="E485" s="501" t="s">
        <v>9367</v>
      </c>
      <c r="F485" s="501" t="s">
        <v>9368</v>
      </c>
      <c r="G485" s="501" t="s">
        <v>9369</v>
      </c>
      <c r="H485" s="501" t="s">
        <v>9370</v>
      </c>
      <c r="I485" s="501" t="s">
        <v>9371</v>
      </c>
      <c r="J485" s="501" t="s">
        <v>9372</v>
      </c>
      <c r="K485" s="501" t="s">
        <v>9373</v>
      </c>
      <c r="L485" s="501" t="s">
        <v>9374</v>
      </c>
      <c r="M485" s="501" t="s">
        <v>9375</v>
      </c>
      <c r="N485" s="501" t="s">
        <v>9376</v>
      </c>
    </row>
    <row r="486" spans="1:14" x14ac:dyDescent="0.3">
      <c r="A486" s="2" t="s">
        <v>9377</v>
      </c>
      <c r="B486" s="346" t="str">
        <f>INDEX(C486:N486,MATCH(template_selected_display_language,$C$3:$N$3,0))</f>
        <v>Cellule à laquelle la note de bas de page est associée</v>
      </c>
      <c r="C486" s="2" t="s">
        <v>9378</v>
      </c>
      <c r="D486" s="501" t="s">
        <v>9379</v>
      </c>
      <c r="E486" s="501" t="s">
        <v>9380</v>
      </c>
      <c r="F486" s="501" t="s">
        <v>9381</v>
      </c>
      <c r="G486" s="501" t="s">
        <v>9382</v>
      </c>
      <c r="H486" s="501" t="s">
        <v>9383</v>
      </c>
      <c r="I486" s="501" t="s">
        <v>9384</v>
      </c>
      <c r="J486" s="501" t="s">
        <v>9385</v>
      </c>
      <c r="K486" s="501" t="s">
        <v>9386</v>
      </c>
      <c r="L486" s="501" t="s">
        <v>9387</v>
      </c>
      <c r="M486" s="501" t="s">
        <v>9388</v>
      </c>
      <c r="N486" s="501" t="s">
        <v>9389</v>
      </c>
    </row>
    <row r="487" spans="1:14" x14ac:dyDescent="0.3">
      <c r="A487" s="2" t="s">
        <v>9390</v>
      </c>
      <c r="B487" s="346" t="str">
        <f t="shared" si="11"/>
        <v>Texte de la note de bas de page</v>
      </c>
      <c r="C487" s="2" t="s">
        <v>9391</v>
      </c>
      <c r="D487" s="501" t="s">
        <v>9392</v>
      </c>
      <c r="E487" s="501" t="s">
        <v>9393</v>
      </c>
      <c r="F487" s="501" t="s">
        <v>9394</v>
      </c>
      <c r="G487" s="501" t="s">
        <v>9395</v>
      </c>
      <c r="H487" s="501" t="s">
        <v>9396</v>
      </c>
      <c r="I487" s="501" t="s">
        <v>9397</v>
      </c>
      <c r="J487" s="501" t="s">
        <v>9398</v>
      </c>
      <c r="K487" s="501" t="s">
        <v>9399</v>
      </c>
      <c r="L487" s="501" t="s">
        <v>9400</v>
      </c>
      <c r="M487" s="501" t="s">
        <v>9401</v>
      </c>
      <c r="N487" s="501" t="s">
        <v>9402</v>
      </c>
    </row>
    <row r="488" spans="1:14" x14ac:dyDescent="0.3">
      <c r="A488" s="2" t="s">
        <v>9403</v>
      </c>
      <c r="B488" s="346" t="str">
        <f t="shared" si="11"/>
        <v>Dimension (nom technique)</v>
      </c>
      <c r="C488" s="2" t="s">
        <v>9404</v>
      </c>
      <c r="D488" s="501" t="s">
        <v>9405</v>
      </c>
      <c r="E488" s="501" t="s">
        <v>9406</v>
      </c>
      <c r="F488" s="501" t="s">
        <v>9407</v>
      </c>
      <c r="G488" s="501" t="s">
        <v>9408</v>
      </c>
      <c r="H488" s="501" t="s">
        <v>9409</v>
      </c>
      <c r="I488" s="501" t="s">
        <v>9410</v>
      </c>
      <c r="J488" s="501" t="s">
        <v>9411</v>
      </c>
      <c r="K488" s="501" t="s">
        <v>9412</v>
      </c>
      <c r="L488" s="501" t="s">
        <v>9413</v>
      </c>
      <c r="M488" s="501" t="s">
        <v>9414</v>
      </c>
      <c r="N488" s="501" t="s">
        <v>9415</v>
      </c>
    </row>
    <row r="489" spans="1:14" ht="28.8" x14ac:dyDescent="0.3">
      <c r="A489" s="2" t="s">
        <v>9416</v>
      </c>
      <c r="B489" s="346" t="str">
        <f t="shared" si="11"/>
        <v>Cliquez sur le bouton d’extension à gauche si vous souhaitez ajouter plus de notes de bas de page</v>
      </c>
      <c r="C489" s="2" t="s">
        <v>9417</v>
      </c>
      <c r="D489" s="501" t="s">
        <v>9418</v>
      </c>
      <c r="E489" s="501" t="s">
        <v>9419</v>
      </c>
      <c r="F489" s="501" t="s">
        <v>9420</v>
      </c>
      <c r="G489" s="501" t="s">
        <v>9421</v>
      </c>
      <c r="H489" s="501" t="s">
        <v>9422</v>
      </c>
      <c r="I489" s="501" t="s">
        <v>9423</v>
      </c>
      <c r="J489" s="501" t="s">
        <v>9424</v>
      </c>
      <c r="K489" s="501" t="s">
        <v>9425</v>
      </c>
      <c r="L489" s="501" t="s">
        <v>9426</v>
      </c>
      <c r="M489" s="501" t="s">
        <v>9427</v>
      </c>
      <c r="N489" s="501" t="s">
        <v>9428</v>
      </c>
    </row>
    <row r="490" spans="1:14" x14ac:dyDescent="0.3">
      <c r="D490" s="501"/>
      <c r="E490" s="501"/>
    </row>
    <row r="491" spans="1:14" x14ac:dyDescent="0.3">
      <c r="D491" s="501"/>
      <c r="E491" s="501"/>
    </row>
    <row r="492" spans="1:14" x14ac:dyDescent="0.3">
      <c r="D492" s="501"/>
      <c r="E492" s="501"/>
    </row>
    <row r="493" spans="1:14" x14ac:dyDescent="0.3">
      <c r="D493" s="501"/>
      <c r="E493" s="501"/>
    </row>
    <row r="494" spans="1:14" x14ac:dyDescent="0.3">
      <c r="D494" s="501"/>
      <c r="E494" s="501"/>
    </row>
    <row r="495" spans="1:14" x14ac:dyDescent="0.3">
      <c r="D495" s="501"/>
      <c r="E495" s="501"/>
    </row>
    <row r="496" spans="1:14" x14ac:dyDescent="0.3">
      <c r="D496" s="501"/>
      <c r="E496" s="501"/>
    </row>
    <row r="497" spans="4:5" x14ac:dyDescent="0.3">
      <c r="D497" s="501"/>
      <c r="E497" s="501"/>
    </row>
    <row r="498" spans="4:5" x14ac:dyDescent="0.3">
      <c r="D498" s="501"/>
      <c r="E498" s="501"/>
    </row>
    <row r="499" spans="4:5" x14ac:dyDescent="0.3">
      <c r="D499" s="501"/>
      <c r="E499" s="501"/>
    </row>
    <row r="500" spans="4:5" x14ac:dyDescent="0.3">
      <c r="D500" s="501"/>
      <c r="E500" s="501"/>
    </row>
    <row r="501" spans="4:5" x14ac:dyDescent="0.3">
      <c r="D501" s="501"/>
      <c r="E501" s="501"/>
    </row>
    <row r="502" spans="4:5" x14ac:dyDescent="0.3">
      <c r="D502" s="501"/>
      <c r="E502" s="501"/>
    </row>
    <row r="503" spans="4:5" x14ac:dyDescent="0.3">
      <c r="D503" s="501"/>
      <c r="E503" s="501"/>
    </row>
    <row r="504" spans="4:5" x14ac:dyDescent="0.3">
      <c r="D504" s="501"/>
      <c r="E504" s="501"/>
    </row>
    <row r="505" spans="4:5" x14ac:dyDescent="0.3">
      <c r="D505" s="501"/>
      <c r="E505" s="501"/>
    </row>
    <row r="506" spans="4:5" x14ac:dyDescent="0.3">
      <c r="D506" s="501"/>
      <c r="E506" s="501"/>
    </row>
    <row r="507" spans="4:5" x14ac:dyDescent="0.3">
      <c r="D507" s="501"/>
      <c r="E507" s="501"/>
    </row>
    <row r="508" spans="4:5" x14ac:dyDescent="0.3">
      <c r="D508" s="501"/>
      <c r="E508" s="501"/>
    </row>
    <row r="509" spans="4:5" x14ac:dyDescent="0.3">
      <c r="D509" s="501"/>
      <c r="E509" s="501"/>
    </row>
    <row r="510" spans="4:5" x14ac:dyDescent="0.3">
      <c r="D510" s="501"/>
      <c r="E510" s="501"/>
    </row>
    <row r="511" spans="4:5" x14ac:dyDescent="0.3">
      <c r="D511" s="501"/>
      <c r="E511" s="501"/>
    </row>
    <row r="512" spans="4:5" x14ac:dyDescent="0.3">
      <c r="D512" s="501"/>
      <c r="E512" s="501"/>
    </row>
    <row r="513" spans="4:5" x14ac:dyDescent="0.3">
      <c r="D513" s="501"/>
      <c r="E513" s="501"/>
    </row>
    <row r="514" spans="4:5" x14ac:dyDescent="0.3">
      <c r="D514" s="501"/>
      <c r="E514" s="501"/>
    </row>
    <row r="515" spans="4:5" x14ac:dyDescent="0.3">
      <c r="D515" s="501"/>
      <c r="E515" s="501"/>
    </row>
    <row r="516" spans="4:5" x14ac:dyDescent="0.3">
      <c r="D516" s="501"/>
      <c r="E516" s="501"/>
    </row>
    <row r="517" spans="4:5" x14ac:dyDescent="0.3">
      <c r="D517" s="501"/>
      <c r="E517" s="501"/>
    </row>
    <row r="518" spans="4:5" x14ac:dyDescent="0.3">
      <c r="D518" s="501"/>
      <c r="E518" s="501"/>
    </row>
    <row r="519" spans="4:5" x14ac:dyDescent="0.3">
      <c r="D519" s="501"/>
      <c r="E519" s="501"/>
    </row>
    <row r="520" spans="4:5" x14ac:dyDescent="0.3">
      <c r="D520" s="501"/>
      <c r="E520" s="501"/>
    </row>
    <row r="521" spans="4:5" x14ac:dyDescent="0.3">
      <c r="D521" s="501"/>
      <c r="E521" s="501"/>
    </row>
    <row r="522" spans="4:5" x14ac:dyDescent="0.3">
      <c r="D522" s="501"/>
      <c r="E522" s="501"/>
    </row>
    <row r="523" spans="4:5" x14ac:dyDescent="0.3">
      <c r="D523" s="501"/>
      <c r="E523" s="501"/>
    </row>
    <row r="524" spans="4:5" x14ac:dyDescent="0.3">
      <c r="D524" s="501"/>
      <c r="E524" s="501"/>
    </row>
    <row r="525" spans="4:5" x14ac:dyDescent="0.3">
      <c r="D525" s="501"/>
      <c r="E525" s="501"/>
    </row>
    <row r="526" spans="4:5" x14ac:dyDescent="0.3">
      <c r="D526" s="501"/>
      <c r="E526" s="501"/>
    </row>
    <row r="527" spans="4:5" x14ac:dyDescent="0.3">
      <c r="D527" s="501"/>
      <c r="E527" s="501"/>
    </row>
    <row r="528" spans="4:5" x14ac:dyDescent="0.3">
      <c r="D528" s="501"/>
      <c r="E528" s="501"/>
    </row>
    <row r="529" spans="4:5" x14ac:dyDescent="0.3">
      <c r="D529" s="501"/>
      <c r="E529" s="501"/>
    </row>
    <row r="530" spans="4:5" x14ac:dyDescent="0.3">
      <c r="D530" s="501"/>
      <c r="E530" s="501"/>
    </row>
    <row r="531" spans="4:5" x14ac:dyDescent="0.3">
      <c r="D531" s="501"/>
      <c r="E531" s="501"/>
    </row>
    <row r="532" spans="4:5" x14ac:dyDescent="0.3">
      <c r="D532" s="501"/>
      <c r="E532" s="501"/>
    </row>
    <row r="533" spans="4:5" x14ac:dyDescent="0.3">
      <c r="D533" s="501"/>
      <c r="E533" s="501"/>
    </row>
    <row r="534" spans="4:5" x14ac:dyDescent="0.3">
      <c r="D534" s="501"/>
      <c r="E534" s="501"/>
    </row>
    <row r="535" spans="4:5" x14ac:dyDescent="0.3">
      <c r="D535" s="501"/>
      <c r="E535" s="501"/>
    </row>
    <row r="536" spans="4:5" x14ac:dyDescent="0.3">
      <c r="D536" s="501"/>
      <c r="E536" s="501"/>
    </row>
    <row r="537" spans="4:5" x14ac:dyDescent="0.3">
      <c r="D537" s="501"/>
      <c r="E537" s="501"/>
    </row>
    <row r="538" spans="4:5" x14ac:dyDescent="0.3">
      <c r="D538" s="501"/>
      <c r="E538" s="501"/>
    </row>
    <row r="539" spans="4:5" x14ac:dyDescent="0.3">
      <c r="D539" s="501"/>
      <c r="E539" s="501"/>
    </row>
    <row r="540" spans="4:5" x14ac:dyDescent="0.3">
      <c r="D540" s="501"/>
      <c r="E540" s="501"/>
    </row>
    <row r="541" spans="4:5" x14ac:dyDescent="0.3">
      <c r="D541" s="501"/>
      <c r="E541" s="501"/>
    </row>
    <row r="542" spans="4:5" x14ac:dyDescent="0.3">
      <c r="D542" s="501"/>
      <c r="E542" s="501"/>
    </row>
    <row r="543" spans="4:5" x14ac:dyDescent="0.3">
      <c r="D543" s="501"/>
      <c r="E543" s="501"/>
    </row>
    <row r="544" spans="4:5" x14ac:dyDescent="0.3">
      <c r="D544" s="501"/>
      <c r="E544" s="501"/>
    </row>
    <row r="545" spans="4:5" x14ac:dyDescent="0.3">
      <c r="D545" s="501"/>
      <c r="E545" s="501"/>
    </row>
    <row r="546" spans="4:5" x14ac:dyDescent="0.3">
      <c r="D546" s="501"/>
      <c r="E546" s="501"/>
    </row>
    <row r="547" spans="4:5" x14ac:dyDescent="0.3">
      <c r="D547" s="501"/>
      <c r="E547" s="501"/>
    </row>
    <row r="548" spans="4:5" x14ac:dyDescent="0.3">
      <c r="D548" s="501"/>
      <c r="E548" s="501"/>
    </row>
    <row r="549" spans="4:5" x14ac:dyDescent="0.3">
      <c r="D549" s="501"/>
      <c r="E549" s="501"/>
    </row>
    <row r="550" spans="4:5" x14ac:dyDescent="0.3">
      <c r="D550" s="501"/>
      <c r="E550" s="501"/>
    </row>
    <row r="551" spans="4:5" x14ac:dyDescent="0.3">
      <c r="D551" s="501"/>
      <c r="E551" s="501"/>
    </row>
    <row r="552" spans="4:5" x14ac:dyDescent="0.3">
      <c r="D552" s="501"/>
      <c r="E552" s="501"/>
    </row>
    <row r="553" spans="4:5" x14ac:dyDescent="0.3">
      <c r="D553" s="501"/>
      <c r="E553" s="501"/>
    </row>
    <row r="554" spans="4:5" x14ac:dyDescent="0.3">
      <c r="D554" s="501"/>
      <c r="E554" s="501"/>
    </row>
    <row r="555" spans="4:5" x14ac:dyDescent="0.3">
      <c r="D555" s="501"/>
      <c r="E555" s="501"/>
    </row>
    <row r="556" spans="4:5" x14ac:dyDescent="0.3">
      <c r="D556" s="501"/>
      <c r="E556" s="501"/>
    </row>
    <row r="557" spans="4:5" x14ac:dyDescent="0.3">
      <c r="D557" s="501"/>
      <c r="E557" s="501"/>
    </row>
    <row r="558" spans="4:5" x14ac:dyDescent="0.3">
      <c r="D558" s="501"/>
      <c r="E558" s="501"/>
    </row>
    <row r="559" spans="4:5" x14ac:dyDescent="0.3">
      <c r="D559" s="501"/>
      <c r="E559" s="501"/>
    </row>
    <row r="560" spans="4:5" x14ac:dyDescent="0.3">
      <c r="D560" s="501"/>
      <c r="E560" s="501"/>
    </row>
    <row r="561" spans="4:5" x14ac:dyDescent="0.3">
      <c r="D561" s="501"/>
      <c r="E561" s="501"/>
    </row>
    <row r="562" spans="4:5" x14ac:dyDescent="0.3">
      <c r="D562" s="501"/>
      <c r="E562" s="501"/>
    </row>
    <row r="563" spans="4:5" x14ac:dyDescent="0.3">
      <c r="D563" s="501"/>
      <c r="E563" s="501"/>
    </row>
    <row r="564" spans="4:5" x14ac:dyDescent="0.3">
      <c r="D564" s="501"/>
      <c r="E564" s="501"/>
    </row>
    <row r="565" spans="4:5" x14ac:dyDescent="0.3">
      <c r="D565" s="501"/>
      <c r="E565" s="501"/>
    </row>
    <row r="566" spans="4:5" x14ac:dyDescent="0.3">
      <c r="D566" s="501"/>
      <c r="E566" s="501"/>
    </row>
    <row r="567" spans="4:5" x14ac:dyDescent="0.3">
      <c r="D567" s="501"/>
      <c r="E567" s="501"/>
    </row>
    <row r="568" spans="4:5" x14ac:dyDescent="0.3">
      <c r="D568" s="501"/>
      <c r="E568" s="501"/>
    </row>
    <row r="569" spans="4:5" x14ac:dyDescent="0.3">
      <c r="D569" s="501"/>
      <c r="E569" s="501"/>
    </row>
    <row r="570" spans="4:5" x14ac:dyDescent="0.3">
      <c r="D570" s="501"/>
      <c r="E570" s="501"/>
    </row>
    <row r="571" spans="4:5" x14ac:dyDescent="0.3">
      <c r="D571" s="501"/>
      <c r="E571" s="501"/>
    </row>
    <row r="572" spans="4:5" x14ac:dyDescent="0.3">
      <c r="D572" s="501"/>
      <c r="E572" s="501"/>
    </row>
    <row r="573" spans="4:5" x14ac:dyDescent="0.3">
      <c r="D573" s="501"/>
      <c r="E573" s="501"/>
    </row>
    <row r="574" spans="4:5" x14ac:dyDescent="0.3">
      <c r="D574" s="501"/>
      <c r="E574" s="501"/>
    </row>
    <row r="575" spans="4:5" x14ac:dyDescent="0.3">
      <c r="D575" s="501"/>
      <c r="E575" s="501"/>
    </row>
    <row r="576" spans="4:5" x14ac:dyDescent="0.3">
      <c r="D576" s="501"/>
      <c r="E576" s="501"/>
    </row>
    <row r="577" spans="4:5" x14ac:dyDescent="0.3">
      <c r="D577" s="501"/>
      <c r="E577" s="501"/>
    </row>
    <row r="578" spans="4:5" x14ac:dyDescent="0.3">
      <c r="D578" s="501"/>
      <c r="E578" s="501"/>
    </row>
    <row r="579" spans="4:5" x14ac:dyDescent="0.3">
      <c r="D579" s="501"/>
      <c r="E579" s="501"/>
    </row>
    <row r="580" spans="4:5" x14ac:dyDescent="0.3">
      <c r="D580" s="501"/>
      <c r="E580" s="501"/>
    </row>
    <row r="581" spans="4:5" x14ac:dyDescent="0.3">
      <c r="D581" s="501"/>
      <c r="E581" s="501"/>
    </row>
    <row r="582" spans="4:5" x14ac:dyDescent="0.3">
      <c r="D582" s="501"/>
      <c r="E582" s="501"/>
    </row>
    <row r="583" spans="4:5" x14ac:dyDescent="0.3">
      <c r="D583" s="501"/>
      <c r="E583" s="501"/>
    </row>
    <row r="584" spans="4:5" x14ac:dyDescent="0.3">
      <c r="D584" s="501"/>
      <c r="E584" s="501"/>
    </row>
    <row r="585" spans="4:5" x14ac:dyDescent="0.3">
      <c r="D585" s="501"/>
      <c r="E585" s="501"/>
    </row>
    <row r="586" spans="4:5" x14ac:dyDescent="0.3">
      <c r="D586" s="501"/>
      <c r="E586" s="501"/>
    </row>
    <row r="587" spans="4:5" x14ac:dyDescent="0.3">
      <c r="D587" s="501"/>
      <c r="E587" s="501"/>
    </row>
    <row r="588" spans="4:5" x14ac:dyDescent="0.3">
      <c r="D588" s="501"/>
      <c r="E588" s="501"/>
    </row>
    <row r="589" spans="4:5" x14ac:dyDescent="0.3">
      <c r="D589" s="501"/>
      <c r="E589" s="501"/>
    </row>
    <row r="590" spans="4:5" x14ac:dyDescent="0.3">
      <c r="D590" s="501"/>
      <c r="E590" s="501"/>
    </row>
    <row r="591" spans="4:5" x14ac:dyDescent="0.3">
      <c r="D591" s="501"/>
      <c r="E591" s="501"/>
    </row>
    <row r="592" spans="4:5" x14ac:dyDescent="0.3">
      <c r="D592" s="501"/>
      <c r="E592" s="501"/>
    </row>
    <row r="593" spans="4:5" x14ac:dyDescent="0.3">
      <c r="D593" s="501"/>
      <c r="E593" s="501"/>
    </row>
    <row r="594" spans="4:5" x14ac:dyDescent="0.3">
      <c r="D594" s="501"/>
      <c r="E594" s="501"/>
    </row>
    <row r="595" spans="4:5" x14ac:dyDescent="0.3">
      <c r="D595" s="501"/>
      <c r="E595" s="501"/>
    </row>
    <row r="596" spans="4:5" x14ac:dyDescent="0.3">
      <c r="D596" s="501"/>
      <c r="E596" s="501"/>
    </row>
    <row r="597" spans="4:5" x14ac:dyDescent="0.3">
      <c r="D597" s="501"/>
      <c r="E597" s="501"/>
    </row>
    <row r="598" spans="4:5" x14ac:dyDescent="0.3">
      <c r="D598" s="501"/>
      <c r="E598" s="501"/>
    </row>
    <row r="599" spans="4:5" x14ac:dyDescent="0.3">
      <c r="D599" s="501"/>
      <c r="E599" s="501"/>
    </row>
    <row r="600" spans="4:5" x14ac:dyDescent="0.3">
      <c r="D600" s="501"/>
      <c r="E600" s="501"/>
    </row>
    <row r="601" spans="4:5" x14ac:dyDescent="0.3">
      <c r="D601" s="501"/>
      <c r="E601" s="501"/>
    </row>
    <row r="602" spans="4:5" x14ac:dyDescent="0.3">
      <c r="D602" s="501"/>
      <c r="E602" s="501"/>
    </row>
    <row r="603" spans="4:5" x14ac:dyDescent="0.3">
      <c r="D603" s="501"/>
      <c r="E603" s="501"/>
    </row>
    <row r="604" spans="4:5" x14ac:dyDescent="0.3">
      <c r="D604" s="501"/>
      <c r="E604" s="501"/>
    </row>
    <row r="605" spans="4:5" x14ac:dyDescent="0.3">
      <c r="D605" s="501"/>
      <c r="E605" s="501"/>
    </row>
    <row r="606" spans="4:5" x14ac:dyDescent="0.3">
      <c r="D606" s="501"/>
      <c r="E606" s="501"/>
    </row>
    <row r="607" spans="4:5" x14ac:dyDescent="0.3">
      <c r="D607" s="501"/>
      <c r="E607" s="501"/>
    </row>
    <row r="608" spans="4:5" x14ac:dyDescent="0.3">
      <c r="D608" s="501"/>
      <c r="E608" s="501"/>
    </row>
    <row r="609" spans="4:5" x14ac:dyDescent="0.3">
      <c r="D609" s="501"/>
      <c r="E609" s="501"/>
    </row>
    <row r="610" spans="4:5" x14ac:dyDescent="0.3">
      <c r="D610" s="501"/>
      <c r="E610" s="501"/>
    </row>
    <row r="611" spans="4:5" x14ac:dyDescent="0.3">
      <c r="D611" s="501"/>
      <c r="E611" s="501"/>
    </row>
    <row r="612" spans="4:5" x14ac:dyDescent="0.3">
      <c r="D612" s="501"/>
      <c r="E612" s="501"/>
    </row>
    <row r="613" spans="4:5" x14ac:dyDescent="0.3">
      <c r="D613" s="501"/>
      <c r="E613" s="501"/>
    </row>
    <row r="614" spans="4:5" x14ac:dyDescent="0.3">
      <c r="D614" s="501"/>
      <c r="E614" s="501"/>
    </row>
    <row r="615" spans="4:5" x14ac:dyDescent="0.3">
      <c r="D615" s="501"/>
      <c r="E615" s="501"/>
    </row>
    <row r="616" spans="4:5" x14ac:dyDescent="0.3">
      <c r="D616" s="501"/>
      <c r="E616" s="501"/>
    </row>
    <row r="617" spans="4:5" x14ac:dyDescent="0.3">
      <c r="D617" s="501"/>
      <c r="E617" s="501"/>
    </row>
    <row r="618" spans="4:5" x14ac:dyDescent="0.3">
      <c r="D618" s="501"/>
      <c r="E618" s="501"/>
    </row>
    <row r="619" spans="4:5" x14ac:dyDescent="0.3">
      <c r="D619" s="501"/>
      <c r="E619" s="501"/>
    </row>
    <row r="620" spans="4:5" x14ac:dyDescent="0.3">
      <c r="D620" s="501"/>
      <c r="E620" s="501"/>
    </row>
    <row r="621" spans="4:5" x14ac:dyDescent="0.3">
      <c r="D621" s="501"/>
      <c r="E621" s="501"/>
    </row>
    <row r="622" spans="4:5" x14ac:dyDescent="0.3">
      <c r="D622" s="501"/>
      <c r="E622" s="501"/>
    </row>
    <row r="623" spans="4:5" x14ac:dyDescent="0.3">
      <c r="D623" s="501"/>
      <c r="E623" s="501"/>
    </row>
    <row r="624" spans="4:5" x14ac:dyDescent="0.3">
      <c r="D624" s="501"/>
      <c r="E624" s="501"/>
    </row>
    <row r="625" spans="4:5" x14ac:dyDescent="0.3">
      <c r="D625" s="501"/>
      <c r="E625" s="501"/>
    </row>
    <row r="626" spans="4:5" x14ac:dyDescent="0.3">
      <c r="D626" s="501"/>
      <c r="E626" s="501"/>
    </row>
    <row r="627" spans="4:5" x14ac:dyDescent="0.3">
      <c r="D627" s="501"/>
      <c r="E627" s="501"/>
    </row>
    <row r="628" spans="4:5" x14ac:dyDescent="0.3">
      <c r="D628" s="501"/>
      <c r="E628" s="501"/>
    </row>
    <row r="629" spans="4:5" x14ac:dyDescent="0.3">
      <c r="D629" s="501"/>
      <c r="E629" s="501"/>
    </row>
    <row r="630" spans="4:5" x14ac:dyDescent="0.3">
      <c r="D630" s="501"/>
      <c r="E630" s="501"/>
    </row>
    <row r="631" spans="4:5" x14ac:dyDescent="0.3">
      <c r="D631" s="501"/>
      <c r="E631" s="501"/>
    </row>
    <row r="632" spans="4:5" x14ac:dyDescent="0.3">
      <c r="D632" s="501"/>
      <c r="E632" s="501"/>
    </row>
    <row r="633" spans="4:5" x14ac:dyDescent="0.3">
      <c r="D633" s="501"/>
      <c r="E633" s="501"/>
    </row>
    <row r="634" spans="4:5" x14ac:dyDescent="0.3">
      <c r="D634" s="501"/>
      <c r="E634" s="501"/>
    </row>
    <row r="635" spans="4:5" x14ac:dyDescent="0.3">
      <c r="D635" s="501"/>
      <c r="E635" s="501"/>
    </row>
    <row r="636" spans="4:5" x14ac:dyDescent="0.3">
      <c r="D636" s="501"/>
      <c r="E636" s="501"/>
    </row>
    <row r="637" spans="4:5" x14ac:dyDescent="0.3">
      <c r="D637" s="501"/>
      <c r="E637" s="501"/>
    </row>
    <row r="638" spans="4:5" x14ac:dyDescent="0.3">
      <c r="D638" s="501"/>
      <c r="E638" s="501"/>
    </row>
    <row r="639" spans="4:5" x14ac:dyDescent="0.3">
      <c r="D639" s="501"/>
      <c r="E639" s="501"/>
    </row>
    <row r="640" spans="4:5" x14ac:dyDescent="0.3">
      <c r="D640" s="501"/>
      <c r="E640" s="501"/>
    </row>
    <row r="641" spans="4:5" x14ac:dyDescent="0.3">
      <c r="D641" s="501"/>
      <c r="E641" s="501"/>
    </row>
    <row r="642" spans="4:5" x14ac:dyDescent="0.3">
      <c r="D642" s="501"/>
      <c r="E642" s="501"/>
    </row>
    <row r="643" spans="4:5" x14ac:dyDescent="0.3">
      <c r="D643" s="501"/>
      <c r="E643" s="501"/>
    </row>
    <row r="644" spans="4:5" x14ac:dyDescent="0.3">
      <c r="D644" s="501"/>
      <c r="E644" s="501"/>
    </row>
    <row r="645" spans="4:5" x14ac:dyDescent="0.3">
      <c r="D645" s="501"/>
      <c r="E645" s="501"/>
    </row>
    <row r="646" spans="4:5" x14ac:dyDescent="0.3">
      <c r="D646" s="501"/>
      <c r="E646" s="501"/>
    </row>
    <row r="647" spans="4:5" x14ac:dyDescent="0.3">
      <c r="D647" s="501"/>
      <c r="E647" s="501"/>
    </row>
    <row r="648" spans="4:5" x14ac:dyDescent="0.3">
      <c r="D648" s="501"/>
      <c r="E648" s="501"/>
    </row>
    <row r="649" spans="4:5" x14ac:dyDescent="0.3">
      <c r="D649" s="501"/>
      <c r="E649" s="501"/>
    </row>
    <row r="650" spans="4:5" x14ac:dyDescent="0.3">
      <c r="D650" s="501"/>
      <c r="E650" s="501"/>
    </row>
    <row r="651" spans="4:5" x14ac:dyDescent="0.3">
      <c r="D651" s="501"/>
      <c r="E651" s="501"/>
    </row>
    <row r="652" spans="4:5" x14ac:dyDescent="0.3">
      <c r="D652" s="501"/>
      <c r="E652" s="501"/>
    </row>
    <row r="653" spans="4:5" x14ac:dyDescent="0.3">
      <c r="D653" s="501"/>
      <c r="E653" s="501"/>
    </row>
    <row r="654" spans="4:5" x14ac:dyDescent="0.3">
      <c r="D654" s="501"/>
      <c r="E654" s="501"/>
    </row>
    <row r="655" spans="4:5" x14ac:dyDescent="0.3">
      <c r="D655" s="501"/>
      <c r="E655" s="501"/>
    </row>
    <row r="656" spans="4:5" x14ac:dyDescent="0.3">
      <c r="D656" s="501"/>
      <c r="E656" s="501"/>
    </row>
    <row r="657" spans="4:5" x14ac:dyDescent="0.3">
      <c r="D657" s="501"/>
      <c r="E657" s="501"/>
    </row>
    <row r="658" spans="4:5" x14ac:dyDescent="0.3">
      <c r="D658" s="501"/>
      <c r="E658" s="501"/>
    </row>
    <row r="659" spans="4:5" x14ac:dyDescent="0.3">
      <c r="D659" s="501"/>
      <c r="E659" s="501"/>
    </row>
    <row r="660" spans="4:5" x14ac:dyDescent="0.3">
      <c r="D660" s="501"/>
      <c r="E660" s="501"/>
    </row>
    <row r="661" spans="4:5" x14ac:dyDescent="0.3">
      <c r="D661" s="501"/>
      <c r="E661" s="501"/>
    </row>
    <row r="662" spans="4:5" x14ac:dyDescent="0.3">
      <c r="D662" s="501"/>
      <c r="E662" s="501"/>
    </row>
    <row r="663" spans="4:5" x14ac:dyDescent="0.3">
      <c r="D663" s="501"/>
      <c r="E663" s="501"/>
    </row>
    <row r="664" spans="4:5" x14ac:dyDescent="0.3">
      <c r="D664" s="501"/>
      <c r="E664" s="501"/>
    </row>
    <row r="665" spans="4:5" x14ac:dyDescent="0.3">
      <c r="D665" s="501"/>
      <c r="E665" s="501"/>
    </row>
    <row r="666" spans="4:5" x14ac:dyDescent="0.3">
      <c r="D666" s="501"/>
      <c r="E666" s="501"/>
    </row>
    <row r="667" spans="4:5" x14ac:dyDescent="0.3">
      <c r="D667" s="501"/>
      <c r="E667" s="501"/>
    </row>
    <row r="668" spans="4:5" x14ac:dyDescent="0.3">
      <c r="D668" s="501"/>
      <c r="E668" s="501"/>
    </row>
    <row r="669" spans="4:5" x14ac:dyDescent="0.3">
      <c r="D669" s="501"/>
      <c r="E669" s="501"/>
    </row>
    <row r="670" spans="4:5" x14ac:dyDescent="0.3">
      <c r="D670" s="501"/>
      <c r="E670" s="501"/>
    </row>
    <row r="671" spans="4:5" x14ac:dyDescent="0.3">
      <c r="D671" s="501"/>
      <c r="E671" s="501"/>
    </row>
    <row r="672" spans="4:5" x14ac:dyDescent="0.3">
      <c r="D672" s="501"/>
      <c r="E672" s="501"/>
    </row>
    <row r="673" spans="4:5" x14ac:dyDescent="0.3">
      <c r="D673" s="501"/>
      <c r="E673" s="501"/>
    </row>
    <row r="674" spans="4:5" x14ac:dyDescent="0.3">
      <c r="D674" s="501"/>
      <c r="E674" s="501"/>
    </row>
    <row r="675" spans="4:5" x14ac:dyDescent="0.3">
      <c r="D675" s="501"/>
      <c r="E675" s="501"/>
    </row>
    <row r="676" spans="4:5" x14ac:dyDescent="0.3">
      <c r="D676" s="501"/>
      <c r="E676" s="501"/>
    </row>
    <row r="677" spans="4:5" x14ac:dyDescent="0.3">
      <c r="D677" s="501"/>
      <c r="E677" s="501"/>
    </row>
    <row r="678" spans="4:5" x14ac:dyDescent="0.3">
      <c r="D678" s="501"/>
      <c r="E678" s="501"/>
    </row>
    <row r="679" spans="4:5" x14ac:dyDescent="0.3">
      <c r="D679" s="501"/>
      <c r="E679" s="501"/>
    </row>
    <row r="680" spans="4:5" x14ac:dyDescent="0.3">
      <c r="D680" s="501"/>
      <c r="E680" s="501"/>
    </row>
    <row r="681" spans="4:5" x14ac:dyDescent="0.3">
      <c r="D681" s="501"/>
      <c r="E681" s="501"/>
    </row>
    <row r="682" spans="4:5" x14ac:dyDescent="0.3">
      <c r="D682" s="501"/>
      <c r="E682" s="501"/>
    </row>
    <row r="683" spans="4:5" x14ac:dyDescent="0.3">
      <c r="D683" s="501"/>
      <c r="E683" s="501"/>
    </row>
    <row r="684" spans="4:5" x14ac:dyDescent="0.3">
      <c r="D684" s="501"/>
      <c r="E684" s="501"/>
    </row>
    <row r="685" spans="4:5" x14ac:dyDescent="0.3">
      <c r="D685" s="501"/>
      <c r="E685" s="501"/>
    </row>
    <row r="686" spans="4:5" x14ac:dyDescent="0.3">
      <c r="D686" s="501"/>
      <c r="E686" s="501"/>
    </row>
    <row r="687" spans="4:5" x14ac:dyDescent="0.3">
      <c r="D687" s="501"/>
      <c r="E687" s="501"/>
    </row>
    <row r="688" spans="4:5" x14ac:dyDescent="0.3">
      <c r="D688" s="501"/>
      <c r="E688" s="501"/>
    </row>
    <row r="689" spans="4:5" x14ac:dyDescent="0.3">
      <c r="D689" s="501"/>
      <c r="E689" s="501"/>
    </row>
    <row r="690" spans="4:5" x14ac:dyDescent="0.3">
      <c r="D690" s="501"/>
      <c r="E690" s="501"/>
    </row>
    <row r="691" spans="4:5" x14ac:dyDescent="0.3">
      <c r="D691" s="501"/>
      <c r="E691" s="501"/>
    </row>
    <row r="692" spans="4:5" x14ac:dyDescent="0.3">
      <c r="D692" s="501"/>
      <c r="E692" s="501"/>
    </row>
    <row r="693" spans="4:5" x14ac:dyDescent="0.3">
      <c r="D693" s="501"/>
      <c r="E693" s="501"/>
    </row>
    <row r="694" spans="4:5" x14ac:dyDescent="0.3">
      <c r="D694" s="501"/>
      <c r="E694" s="501"/>
    </row>
    <row r="695" spans="4:5" x14ac:dyDescent="0.3">
      <c r="D695" s="501"/>
      <c r="E695" s="501"/>
    </row>
    <row r="696" spans="4:5" x14ac:dyDescent="0.3">
      <c r="D696" s="501"/>
      <c r="E696" s="501"/>
    </row>
    <row r="697" spans="4:5" x14ac:dyDescent="0.3">
      <c r="D697" s="501"/>
      <c r="E697" s="501"/>
    </row>
    <row r="698" spans="4:5" x14ac:dyDescent="0.3">
      <c r="D698" s="501"/>
      <c r="E698" s="501"/>
    </row>
    <row r="699" spans="4:5" x14ac:dyDescent="0.3">
      <c r="D699" s="501"/>
      <c r="E699" s="501"/>
    </row>
    <row r="700" spans="4:5" x14ac:dyDescent="0.3">
      <c r="D700" s="501"/>
      <c r="E700" s="501"/>
    </row>
    <row r="701" spans="4:5" x14ac:dyDescent="0.3">
      <c r="D701" s="501"/>
      <c r="E701" s="501"/>
    </row>
    <row r="702" spans="4:5" x14ac:dyDescent="0.3">
      <c r="D702" s="501"/>
      <c r="E702" s="501"/>
    </row>
    <row r="703" spans="4:5" x14ac:dyDescent="0.3">
      <c r="D703" s="501"/>
      <c r="E703" s="501"/>
    </row>
    <row r="704" spans="4:5" x14ac:dyDescent="0.3">
      <c r="D704" s="501"/>
      <c r="E704" s="501"/>
    </row>
    <row r="705" spans="4:5" x14ac:dyDescent="0.3">
      <c r="D705" s="501"/>
      <c r="E705" s="501"/>
    </row>
    <row r="706" spans="4:5" x14ac:dyDescent="0.3">
      <c r="D706" s="501"/>
      <c r="E706" s="501"/>
    </row>
    <row r="707" spans="4:5" x14ac:dyDescent="0.3">
      <c r="D707" s="501"/>
      <c r="E707" s="501"/>
    </row>
    <row r="708" spans="4:5" x14ac:dyDescent="0.3">
      <c r="D708" s="501"/>
      <c r="E708" s="501"/>
    </row>
    <row r="709" spans="4:5" x14ac:dyDescent="0.3">
      <c r="D709" s="501"/>
      <c r="E709" s="501"/>
    </row>
    <row r="710" spans="4:5" x14ac:dyDescent="0.3">
      <c r="D710" s="501"/>
      <c r="E710" s="501"/>
    </row>
    <row r="711" spans="4:5" x14ac:dyDescent="0.3">
      <c r="D711" s="501"/>
      <c r="E711" s="501"/>
    </row>
    <row r="712" spans="4:5" x14ac:dyDescent="0.3">
      <c r="D712" s="501"/>
      <c r="E712" s="501"/>
    </row>
    <row r="713" spans="4:5" x14ac:dyDescent="0.3">
      <c r="D713" s="501"/>
      <c r="E713" s="501"/>
    </row>
    <row r="714" spans="4:5" x14ac:dyDescent="0.3">
      <c r="D714" s="501"/>
      <c r="E714" s="501"/>
    </row>
    <row r="715" spans="4:5" x14ac:dyDescent="0.3">
      <c r="D715" s="501"/>
      <c r="E715" s="501"/>
    </row>
    <row r="716" spans="4:5" x14ac:dyDescent="0.3">
      <c r="D716" s="501"/>
      <c r="E716" s="501"/>
    </row>
    <row r="717" spans="4:5" x14ac:dyDescent="0.3">
      <c r="D717" s="501"/>
      <c r="E717" s="501"/>
    </row>
    <row r="718" spans="4:5" x14ac:dyDescent="0.3">
      <c r="D718" s="501"/>
      <c r="E718" s="501"/>
    </row>
    <row r="719" spans="4:5" x14ac:dyDescent="0.3">
      <c r="D719" s="501"/>
      <c r="E719" s="501"/>
    </row>
    <row r="720" spans="4:5" x14ac:dyDescent="0.3">
      <c r="D720" s="501"/>
      <c r="E720" s="501"/>
    </row>
    <row r="721" spans="4:5" x14ac:dyDescent="0.3">
      <c r="D721" s="501"/>
      <c r="E721" s="501"/>
    </row>
    <row r="722" spans="4:5" x14ac:dyDescent="0.3">
      <c r="D722" s="501"/>
      <c r="E722" s="501"/>
    </row>
    <row r="723" spans="4:5" x14ac:dyDescent="0.3">
      <c r="D723" s="501"/>
      <c r="E723" s="501"/>
    </row>
    <row r="724" spans="4:5" x14ac:dyDescent="0.3">
      <c r="D724" s="501"/>
      <c r="E724" s="501"/>
    </row>
    <row r="725" spans="4:5" x14ac:dyDescent="0.3">
      <c r="D725" s="501"/>
      <c r="E725" s="501"/>
    </row>
    <row r="726" spans="4:5" x14ac:dyDescent="0.3">
      <c r="D726" s="501"/>
      <c r="E726" s="501"/>
    </row>
    <row r="727" spans="4:5" x14ac:dyDescent="0.3">
      <c r="D727" s="501"/>
      <c r="E727" s="501"/>
    </row>
    <row r="728" spans="4:5" x14ac:dyDescent="0.3">
      <c r="D728" s="501"/>
      <c r="E728" s="501"/>
    </row>
    <row r="729" spans="4:5" x14ac:dyDescent="0.3">
      <c r="D729" s="501"/>
      <c r="E729" s="501"/>
    </row>
    <row r="730" spans="4:5" x14ac:dyDescent="0.3">
      <c r="D730" s="501"/>
      <c r="E730" s="501"/>
    </row>
    <row r="731" spans="4:5" x14ac:dyDescent="0.3">
      <c r="D731" s="501"/>
      <c r="E731" s="501"/>
    </row>
    <row r="732" spans="4:5" x14ac:dyDescent="0.3">
      <c r="D732" s="501"/>
      <c r="E732" s="501"/>
    </row>
    <row r="733" spans="4:5" x14ac:dyDescent="0.3">
      <c r="D733" s="501"/>
      <c r="E733" s="501"/>
    </row>
    <row r="734" spans="4:5" x14ac:dyDescent="0.3">
      <c r="D734" s="501"/>
      <c r="E734" s="501"/>
    </row>
    <row r="735" spans="4:5" x14ac:dyDescent="0.3">
      <c r="D735" s="501"/>
      <c r="E735" s="501"/>
    </row>
    <row r="736" spans="4:5" x14ac:dyDescent="0.3">
      <c r="D736" s="501"/>
      <c r="E736" s="501"/>
    </row>
    <row r="737" spans="4:5" x14ac:dyDescent="0.3">
      <c r="D737" s="501"/>
      <c r="E737" s="501"/>
    </row>
    <row r="738" spans="4:5" x14ac:dyDescent="0.3">
      <c r="D738" s="501"/>
      <c r="E738" s="501"/>
    </row>
    <row r="739" spans="4:5" x14ac:dyDescent="0.3">
      <c r="D739" s="501"/>
      <c r="E739" s="501"/>
    </row>
    <row r="740" spans="4:5" x14ac:dyDescent="0.3">
      <c r="D740" s="501"/>
      <c r="E740" s="501"/>
    </row>
    <row r="741" spans="4:5" x14ac:dyDescent="0.3">
      <c r="D741" s="501"/>
      <c r="E741" s="501"/>
    </row>
    <row r="742" spans="4:5" x14ac:dyDescent="0.3">
      <c r="D742" s="501"/>
      <c r="E742" s="501"/>
    </row>
    <row r="743" spans="4:5" x14ac:dyDescent="0.3">
      <c r="D743" s="501"/>
      <c r="E743" s="501"/>
    </row>
    <row r="744" spans="4:5" x14ac:dyDescent="0.3">
      <c r="D744" s="501"/>
      <c r="E744" s="501"/>
    </row>
    <row r="745" spans="4:5" x14ac:dyDescent="0.3">
      <c r="D745" s="501"/>
      <c r="E745" s="501"/>
    </row>
    <row r="746" spans="4:5" x14ac:dyDescent="0.3">
      <c r="D746" s="501"/>
      <c r="E746" s="501"/>
    </row>
    <row r="747" spans="4:5" x14ac:dyDescent="0.3">
      <c r="D747" s="501"/>
      <c r="E747" s="501"/>
    </row>
    <row r="748" spans="4:5" x14ac:dyDescent="0.3">
      <c r="D748" s="501"/>
      <c r="E748" s="501"/>
    </row>
    <row r="749" spans="4:5" x14ac:dyDescent="0.3">
      <c r="D749" s="501"/>
      <c r="E749" s="501"/>
    </row>
    <row r="750" spans="4:5" x14ac:dyDescent="0.3">
      <c r="D750" s="501"/>
      <c r="E750" s="501"/>
    </row>
    <row r="751" spans="4:5" x14ac:dyDescent="0.3">
      <c r="D751" s="501"/>
      <c r="E751" s="501"/>
    </row>
    <row r="752" spans="4:5" x14ac:dyDescent="0.3">
      <c r="D752" s="501"/>
      <c r="E752" s="501"/>
    </row>
    <row r="753" spans="4:5" x14ac:dyDescent="0.3">
      <c r="D753" s="501"/>
      <c r="E753" s="501"/>
    </row>
    <row r="754" spans="4:5" x14ac:dyDescent="0.3">
      <c r="D754" s="501"/>
      <c r="E754" s="501"/>
    </row>
    <row r="755" spans="4:5" x14ac:dyDescent="0.3">
      <c r="D755" s="501"/>
      <c r="E755" s="501"/>
    </row>
    <row r="756" spans="4:5" x14ac:dyDescent="0.3">
      <c r="D756" s="501"/>
      <c r="E756" s="501"/>
    </row>
    <row r="757" spans="4:5" x14ac:dyDescent="0.3">
      <c r="D757" s="501"/>
      <c r="E757" s="501"/>
    </row>
    <row r="758" spans="4:5" x14ac:dyDescent="0.3">
      <c r="D758" s="501"/>
      <c r="E758" s="501"/>
    </row>
    <row r="759" spans="4:5" x14ac:dyDescent="0.3">
      <c r="D759" s="501"/>
      <c r="E759" s="501"/>
    </row>
    <row r="760" spans="4:5" x14ac:dyDescent="0.3">
      <c r="D760" s="501"/>
      <c r="E760" s="501"/>
    </row>
    <row r="761" spans="4:5" x14ac:dyDescent="0.3">
      <c r="D761" s="501"/>
      <c r="E761" s="501"/>
    </row>
    <row r="762" spans="4:5" x14ac:dyDescent="0.3">
      <c r="D762" s="501"/>
      <c r="E762" s="501"/>
    </row>
    <row r="763" spans="4:5" x14ac:dyDescent="0.3">
      <c r="D763" s="501"/>
      <c r="E763" s="501"/>
    </row>
    <row r="764" spans="4:5" x14ac:dyDescent="0.3">
      <c r="D764" s="501"/>
      <c r="E764" s="501"/>
    </row>
    <row r="765" spans="4:5" x14ac:dyDescent="0.3">
      <c r="D765" s="501"/>
      <c r="E765" s="501"/>
    </row>
    <row r="766" spans="4:5" x14ac:dyDescent="0.3">
      <c r="D766" s="501"/>
      <c r="E766" s="501"/>
    </row>
    <row r="767" spans="4:5" x14ac:dyDescent="0.3">
      <c r="D767" s="501"/>
      <c r="E767" s="501"/>
    </row>
    <row r="768" spans="4:5" x14ac:dyDescent="0.3">
      <c r="D768" s="501"/>
      <c r="E768" s="501"/>
    </row>
    <row r="769" spans="4:5" x14ac:dyDescent="0.3">
      <c r="D769" s="501"/>
      <c r="E769" s="501"/>
    </row>
    <row r="770" spans="4:5" x14ac:dyDescent="0.3">
      <c r="D770" s="501"/>
      <c r="E770" s="501"/>
    </row>
    <row r="771" spans="4:5" x14ac:dyDescent="0.3">
      <c r="D771" s="501"/>
      <c r="E771" s="501"/>
    </row>
    <row r="772" spans="4:5" x14ac:dyDescent="0.3">
      <c r="D772" s="501"/>
      <c r="E772" s="501"/>
    </row>
    <row r="773" spans="4:5" x14ac:dyDescent="0.3">
      <c r="D773" s="501"/>
      <c r="E773" s="501"/>
    </row>
    <row r="774" spans="4:5" x14ac:dyDescent="0.3">
      <c r="D774" s="501"/>
      <c r="E774" s="501"/>
    </row>
    <row r="775" spans="4:5" x14ac:dyDescent="0.3">
      <c r="D775" s="501"/>
      <c r="E775" s="501"/>
    </row>
    <row r="776" spans="4:5" x14ac:dyDescent="0.3">
      <c r="D776" s="501"/>
      <c r="E776" s="501"/>
    </row>
    <row r="777" spans="4:5" x14ac:dyDescent="0.3">
      <c r="D777" s="501"/>
      <c r="E777" s="501"/>
    </row>
    <row r="778" spans="4:5" x14ac:dyDescent="0.3">
      <c r="D778" s="501"/>
      <c r="E778" s="501"/>
    </row>
    <row r="779" spans="4:5" x14ac:dyDescent="0.3">
      <c r="D779" s="501"/>
      <c r="E779" s="501"/>
    </row>
    <row r="780" spans="4:5" x14ac:dyDescent="0.3">
      <c r="D780" s="501"/>
      <c r="E780" s="501"/>
    </row>
    <row r="781" spans="4:5" x14ac:dyDescent="0.3">
      <c r="D781" s="501"/>
      <c r="E781" s="501"/>
    </row>
    <row r="782" spans="4:5" x14ac:dyDescent="0.3">
      <c r="D782" s="501"/>
      <c r="E782" s="501"/>
    </row>
    <row r="783" spans="4:5" x14ac:dyDescent="0.3">
      <c r="D783" s="501"/>
      <c r="E783" s="501"/>
    </row>
    <row r="784" spans="4:5" x14ac:dyDescent="0.3">
      <c r="D784" s="501"/>
      <c r="E784" s="501"/>
    </row>
    <row r="785" spans="4:5" x14ac:dyDescent="0.3">
      <c r="D785" s="501"/>
      <c r="E785" s="501"/>
    </row>
    <row r="786" spans="4:5" x14ac:dyDescent="0.3">
      <c r="D786" s="501"/>
      <c r="E786" s="501"/>
    </row>
    <row r="787" spans="4:5" x14ac:dyDescent="0.3">
      <c r="D787" s="501"/>
      <c r="E787" s="501"/>
    </row>
    <row r="788" spans="4:5" x14ac:dyDescent="0.3">
      <c r="D788" s="501"/>
      <c r="E788" s="501"/>
    </row>
    <row r="789" spans="4:5" x14ac:dyDescent="0.3">
      <c r="D789" s="501"/>
      <c r="E789" s="501"/>
    </row>
    <row r="790" spans="4:5" x14ac:dyDescent="0.3">
      <c r="D790" s="501"/>
      <c r="E790" s="501"/>
    </row>
    <row r="791" spans="4:5" x14ac:dyDescent="0.3">
      <c r="D791" s="501"/>
      <c r="E791" s="501"/>
    </row>
    <row r="792" spans="4:5" x14ac:dyDescent="0.3">
      <c r="D792" s="501"/>
      <c r="E792" s="501"/>
    </row>
    <row r="793" spans="4:5" x14ac:dyDescent="0.3">
      <c r="D793" s="501"/>
      <c r="E793" s="501"/>
    </row>
    <row r="794" spans="4:5" x14ac:dyDescent="0.3">
      <c r="D794" s="501"/>
      <c r="E794" s="501"/>
    </row>
    <row r="795" spans="4:5" x14ac:dyDescent="0.3">
      <c r="D795" s="501"/>
      <c r="E795" s="501"/>
    </row>
    <row r="796" spans="4:5" x14ac:dyDescent="0.3">
      <c r="D796" s="501"/>
      <c r="E796" s="501"/>
    </row>
    <row r="797" spans="4:5" x14ac:dyDescent="0.3">
      <c r="D797" s="501"/>
      <c r="E797" s="501"/>
    </row>
    <row r="798" spans="4:5" x14ac:dyDescent="0.3">
      <c r="D798" s="501"/>
      <c r="E798" s="501"/>
    </row>
    <row r="799" spans="4:5" x14ac:dyDescent="0.3">
      <c r="D799" s="501"/>
      <c r="E799" s="501"/>
    </row>
    <row r="800" spans="4:5" x14ac:dyDescent="0.3">
      <c r="D800" s="501"/>
      <c r="E800" s="501"/>
    </row>
    <row r="801" spans="4:5" x14ac:dyDescent="0.3">
      <c r="D801" s="501"/>
      <c r="E801" s="501"/>
    </row>
    <row r="802" spans="4:5" x14ac:dyDescent="0.3">
      <c r="D802" s="501"/>
      <c r="E802" s="501"/>
    </row>
    <row r="803" spans="4:5" x14ac:dyDescent="0.3">
      <c r="D803" s="501"/>
      <c r="E803" s="501"/>
    </row>
    <row r="804" spans="4:5" x14ac:dyDescent="0.3">
      <c r="D804" s="501"/>
      <c r="E804" s="501"/>
    </row>
    <row r="805" spans="4:5" x14ac:dyDescent="0.3">
      <c r="D805" s="501"/>
      <c r="E805" s="501"/>
    </row>
    <row r="806" spans="4:5" x14ac:dyDescent="0.3">
      <c r="D806" s="501"/>
      <c r="E806" s="501"/>
    </row>
  </sheetData>
  <sheetProtection algorithmName="SHA-512" hashValue="7FC8g6F4CPRfudU4CtoXfb035QWc8f5kMz2b/JwBFON5RWtaAjeNhBnBdTaJsDPWAq9A34wzkhBx8dblR31A2w==" saltValue="HqN9/uVDK3Fm4d9G1sjm1A==" spinCount="100000" sheet="1" objects="1" scenarios="1"/>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21D2C-71B4-4480-A729-841BC5CAD8C5}">
  <sheetPr codeName="Sheet12"/>
  <dimension ref="A1:A21"/>
  <sheetViews>
    <sheetView workbookViewId="0"/>
  </sheetViews>
  <sheetFormatPr baseColWidth="10" defaultColWidth="8.88671875" defaultRowHeight="14.4" x14ac:dyDescent="0.3"/>
  <cols>
    <col min="1" max="1" width="78.33203125" style="10" customWidth="1"/>
    <col min="2" max="16384" width="8.88671875" style="10"/>
  </cols>
  <sheetData>
    <row r="1" spans="1:1" x14ac:dyDescent="0.3">
      <c r="A1" s="215" t="s">
        <v>9429</v>
      </c>
    </row>
    <row r="2" spans="1:1" x14ac:dyDescent="0.3">
      <c r="A2" s="216"/>
    </row>
    <row r="3" spans="1:1" x14ac:dyDescent="0.3">
      <c r="A3" s="216" t="s">
        <v>9430</v>
      </c>
    </row>
    <row r="4" spans="1:1" x14ac:dyDescent="0.3">
      <c r="A4" s="216"/>
    </row>
    <row r="5" spans="1:1" x14ac:dyDescent="0.3">
      <c r="A5" s="216" t="s">
        <v>9431</v>
      </c>
    </row>
    <row r="6" spans="1:1" x14ac:dyDescent="0.3">
      <c r="A6" s="216" t="s">
        <v>9432</v>
      </c>
    </row>
    <row r="7" spans="1:1" x14ac:dyDescent="0.3">
      <c r="A7" s="216" t="s">
        <v>9433</v>
      </c>
    </row>
    <row r="8" spans="1:1" x14ac:dyDescent="0.3">
      <c r="A8" s="216" t="s">
        <v>9434</v>
      </c>
    </row>
    <row r="9" spans="1:1" x14ac:dyDescent="0.3">
      <c r="A9" s="216" t="s">
        <v>9435</v>
      </c>
    </row>
    <row r="10" spans="1:1" x14ac:dyDescent="0.3">
      <c r="A10" s="216" t="s">
        <v>9436</v>
      </c>
    </row>
    <row r="11" spans="1:1" x14ac:dyDescent="0.3">
      <c r="A11" s="216"/>
    </row>
    <row r="12" spans="1:1" x14ac:dyDescent="0.3">
      <c r="A12" s="216" t="s">
        <v>9437</v>
      </c>
    </row>
    <row r="13" spans="1:1" x14ac:dyDescent="0.3">
      <c r="A13" s="216" t="s">
        <v>9438</v>
      </c>
    </row>
    <row r="14" spans="1:1" x14ac:dyDescent="0.3">
      <c r="A14" s="216"/>
    </row>
    <row r="15" spans="1:1" x14ac:dyDescent="0.3">
      <c r="A15" s="216" t="s">
        <v>9439</v>
      </c>
    </row>
    <row r="16" spans="1:1" x14ac:dyDescent="0.3">
      <c r="A16" s="216" t="s">
        <v>9440</v>
      </c>
    </row>
    <row r="17" spans="1:1" x14ac:dyDescent="0.3">
      <c r="A17" s="216" t="s">
        <v>9441</v>
      </c>
    </row>
    <row r="18" spans="1:1" x14ac:dyDescent="0.3">
      <c r="A18" s="216" t="s">
        <v>9442</v>
      </c>
    </row>
    <row r="19" spans="1:1" x14ac:dyDescent="0.3">
      <c r="A19" s="216" t="s">
        <v>9443</v>
      </c>
    </row>
    <row r="20" spans="1:1" x14ac:dyDescent="0.3">
      <c r="A20" s="216" t="s">
        <v>9444</v>
      </c>
    </row>
    <row r="21" spans="1:1" ht="15" thickBot="1" x14ac:dyDescent="0.35">
      <c r="A21" s="217" t="s">
        <v>9445</v>
      </c>
    </row>
  </sheetData>
  <sheetProtection algorithmName="SHA-512" hashValue="Pzzbhz0TI+fUPcrpxn3iZY+99mdUOgff14EbdwlmQNRaphGItbgk633zAcN8mqzFhKnd4X3FUVcUla+ZOUWbgg==" saltValue="iAzexgvQifpq06z+5VGlBA=="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F552C-077B-4406-AA24-E9FFBE74BCD2}">
  <sheetPr codeName="Sheet10"/>
  <dimension ref="A1:G259"/>
  <sheetViews>
    <sheetView zoomScaleNormal="100" workbookViewId="0"/>
  </sheetViews>
  <sheetFormatPr baseColWidth="10" defaultColWidth="8.88671875" defaultRowHeight="14.4" x14ac:dyDescent="0.3"/>
  <cols>
    <col min="1" max="1" width="21.33203125" bestFit="1" customWidth="1"/>
    <col min="2" max="2" width="59.6640625" bestFit="1" customWidth="1"/>
    <col min="3" max="3" width="46.6640625" bestFit="1" customWidth="1"/>
    <col min="4" max="4" width="89" customWidth="1"/>
    <col min="5" max="5" width="35.88671875" customWidth="1"/>
    <col min="6" max="6" width="41.33203125" customWidth="1"/>
    <col min="7" max="7" width="44.33203125" bestFit="1" customWidth="1"/>
  </cols>
  <sheetData>
    <row r="1" spans="1:7" x14ac:dyDescent="0.3">
      <c r="A1" t="s">
        <v>9446</v>
      </c>
      <c r="B1" t="str">
        <f>template_reporting_period_startdate &amp; " - " &amp; template_reporting_period_enddate</f>
        <v>- - -</v>
      </c>
      <c r="C1" t="s">
        <v>9447</v>
      </c>
      <c r="D1" t="s">
        <v>9448</v>
      </c>
      <c r="E1" t="s">
        <v>9449</v>
      </c>
      <c r="F1" t="s">
        <v>9450</v>
      </c>
      <c r="G1" t="s">
        <v>9451</v>
      </c>
    </row>
    <row r="2" spans="1:7" ht="13.95" customHeight="1" x14ac:dyDescent="0.3">
      <c r="A2" t="s">
        <v>9452</v>
      </c>
      <c r="B2" t="str">
        <f>template_reporting_period_startdate</f>
        <v>-</v>
      </c>
      <c r="C2" t="s">
        <v>9453</v>
      </c>
      <c r="D2" s="269" t="str">
        <f>IF(AND('General Information'!$H$405=TRUE, 'General Information'!D406&lt;&gt;"", 'General Information'!E406&lt;&gt;"", 'General Information'!F406&lt;&gt;"", 'General Information'!G406&lt;&gt;""), _xlfn.WEBSERVICE("https://nominatim.openstreetmap.org/search?q=" &amp; 'General Information'!K406 &amp; "&amp;format=json&amp;polygon=1&amp;addressdetails=1"), "")</f>
        <v/>
      </c>
      <c r="E2" s="270" t="e">
        <f t="shared" ref="E2:E117" si="0">MID(D2,SEARCH("""lat"":""",D2)+7,SEARCH("""lon"":""",D2)-SEARCH("""lat"":""",D2)-9)</f>
        <v>#VALUE!</v>
      </c>
      <c r="F2" s="270" t="e">
        <f t="shared" ref="F2:F117" si="1">MID(D2, SEARCH("""lon"":""", D2) + 7, SEARCH("""class""", D2) - SEARCH("""lon"":""", D2) - 9)</f>
        <v>#VALUE!</v>
      </c>
      <c r="G2" t="e">
        <f t="shared" ref="G2:G117" si="2">E2 &amp; "," &amp; F2</f>
        <v>#VALUE!</v>
      </c>
    </row>
    <row r="3" spans="1:7" ht="15.6" customHeight="1" x14ac:dyDescent="0.3">
      <c r="A3" t="s">
        <v>9454</v>
      </c>
      <c r="B3" t="str">
        <f>template_reporting_period_enddate</f>
        <v>-</v>
      </c>
      <c r="C3" t="s">
        <v>9455</v>
      </c>
      <c r="D3" s="269" t="str">
        <f>IF(AND('General Information'!$H$405=TRUE, 'General Information'!D407&lt;&gt;"", 'General Information'!E407&lt;&gt;"", 'General Information'!F407&lt;&gt;"", 'General Information'!G407&lt;&gt;""), _xlfn.WEBSERVICE("https://nominatim.openstreetmap.org/search?q=" &amp; 'General Information'!K407 &amp; "&amp;format=json&amp;polygon=1&amp;addressdetails=1"), "")</f>
        <v/>
      </c>
      <c r="E3" s="270" t="e">
        <f t="shared" si="0"/>
        <v>#VALUE!</v>
      </c>
      <c r="F3" s="270" t="e">
        <f t="shared" si="1"/>
        <v>#VALUE!</v>
      </c>
      <c r="G3" t="e">
        <f t="shared" si="2"/>
        <v>#VALUE!</v>
      </c>
    </row>
    <row r="4" spans="1:7" x14ac:dyDescent="0.3">
      <c r="D4" s="269" t="str">
        <f>IF(AND('General Information'!$H$405=TRUE, 'General Information'!D408&lt;&gt;"", 'General Information'!E408&lt;&gt;"", 'General Information'!F408&lt;&gt;"", 'General Information'!G408&lt;&gt;""), _xlfn.WEBSERVICE("https://nominatim.openstreetmap.org/search?q=" &amp; 'General Information'!K408 &amp; "&amp;format=json&amp;polygon=1&amp;addressdetails=1"), "")</f>
        <v/>
      </c>
      <c r="E4" s="270" t="e">
        <f t="shared" si="0"/>
        <v>#VALUE!</v>
      </c>
      <c r="F4" s="270" t="e">
        <f t="shared" si="1"/>
        <v>#VALUE!</v>
      </c>
      <c r="G4" t="e">
        <f t="shared" si="2"/>
        <v>#VALUE!</v>
      </c>
    </row>
    <row r="5" spans="1:7" x14ac:dyDescent="0.3">
      <c r="D5" s="269" t="str">
        <f>IF(AND('General Information'!$H$405=TRUE, 'General Information'!D409&lt;&gt;"", 'General Information'!E409&lt;&gt;"", 'General Information'!F409&lt;&gt;"", 'General Information'!G409&lt;&gt;""), _xlfn.WEBSERVICE("https://nominatim.openstreetmap.org/search?q=" &amp; 'General Information'!K409 &amp; "&amp;format=json&amp;polygon=1&amp;addressdetails=1"), "")</f>
        <v/>
      </c>
      <c r="E5" s="270" t="e">
        <f t="shared" si="0"/>
        <v>#VALUE!</v>
      </c>
      <c r="F5" s="270" t="e">
        <f t="shared" si="1"/>
        <v>#VALUE!</v>
      </c>
      <c r="G5" t="e">
        <f t="shared" si="2"/>
        <v>#VALUE!</v>
      </c>
    </row>
    <row r="6" spans="1:7" x14ac:dyDescent="0.3">
      <c r="D6" s="269" t="str">
        <f>IF(AND('General Information'!$H$405=TRUE, 'General Information'!D410&lt;&gt;"", 'General Information'!E410&lt;&gt;"", 'General Information'!F410&lt;&gt;"", 'General Information'!G410&lt;&gt;""), _xlfn.WEBSERVICE("https://nominatim.openstreetmap.org/search?q=" &amp; 'General Information'!K410 &amp; "&amp;format=json&amp;polygon=1&amp;addressdetails=1"), "")</f>
        <v/>
      </c>
      <c r="E6" s="270" t="e">
        <f t="shared" si="0"/>
        <v>#VALUE!</v>
      </c>
      <c r="F6" s="270" t="e">
        <f t="shared" si="1"/>
        <v>#VALUE!</v>
      </c>
      <c r="G6" t="e">
        <f t="shared" si="2"/>
        <v>#VALUE!</v>
      </c>
    </row>
    <row r="7" spans="1:7" x14ac:dyDescent="0.3">
      <c r="D7" s="269" t="str">
        <f>IF(AND('General Information'!$H$405=TRUE, 'General Information'!D411&lt;&gt;"", 'General Information'!E411&lt;&gt;"", 'General Information'!F411&lt;&gt;"", 'General Information'!G411&lt;&gt;""), _xlfn.WEBSERVICE("https://nominatim.openstreetmap.org/search?q=" &amp; 'General Information'!K411 &amp; "&amp;format=json&amp;polygon=1&amp;addressdetails=1"), "")</f>
        <v/>
      </c>
      <c r="E7" s="270" t="e">
        <f t="shared" si="0"/>
        <v>#VALUE!</v>
      </c>
      <c r="F7" s="270" t="e">
        <f t="shared" si="1"/>
        <v>#VALUE!</v>
      </c>
      <c r="G7" t="e">
        <f t="shared" si="2"/>
        <v>#VALUE!</v>
      </c>
    </row>
    <row r="8" spans="1:7" x14ac:dyDescent="0.3">
      <c r="D8" s="269" t="str">
        <f>IF(AND('General Information'!$H$405=TRUE, 'General Information'!D412&lt;&gt;"", 'General Information'!E412&lt;&gt;"", 'General Information'!F412&lt;&gt;"", 'General Information'!G412&lt;&gt;""), _xlfn.WEBSERVICE("https://nominatim.openstreetmap.org/search?q=" &amp; 'General Information'!K412 &amp; "&amp;format=json&amp;polygon=1&amp;addressdetails=1"), "")</f>
        <v/>
      </c>
      <c r="E8" s="270" t="e">
        <f t="shared" si="0"/>
        <v>#VALUE!</v>
      </c>
      <c r="F8" s="270" t="e">
        <f t="shared" si="1"/>
        <v>#VALUE!</v>
      </c>
      <c r="G8" t="e">
        <f t="shared" si="2"/>
        <v>#VALUE!</v>
      </c>
    </row>
    <row r="9" spans="1:7" x14ac:dyDescent="0.3">
      <c r="D9" s="269" t="str">
        <f>IF(AND('General Information'!$H$405=TRUE, 'General Information'!D413&lt;&gt;"", 'General Information'!E413&lt;&gt;"", 'General Information'!F413&lt;&gt;"", 'General Information'!G413&lt;&gt;""), _xlfn.WEBSERVICE("https://nominatim.openstreetmap.org/search?q=" &amp; 'General Information'!K413 &amp; "&amp;format=json&amp;polygon=1&amp;addressdetails=1"), "")</f>
        <v/>
      </c>
      <c r="E9" s="270" t="e">
        <f t="shared" si="0"/>
        <v>#VALUE!</v>
      </c>
      <c r="F9" s="270" t="e">
        <f t="shared" si="1"/>
        <v>#VALUE!</v>
      </c>
      <c r="G9" t="e">
        <f t="shared" si="2"/>
        <v>#VALUE!</v>
      </c>
    </row>
    <row r="10" spans="1:7" x14ac:dyDescent="0.3">
      <c r="D10" s="269" t="str">
        <f>IF(AND('General Information'!$H$405=TRUE, 'General Information'!D414&lt;&gt;"", 'General Information'!E414&lt;&gt;"", 'General Information'!F414&lt;&gt;"", 'General Information'!G414&lt;&gt;""), _xlfn.WEBSERVICE("https://nominatim.openstreetmap.org/search?q=" &amp; 'General Information'!K414 &amp; "&amp;format=json&amp;polygon=1&amp;addressdetails=1"), "")</f>
        <v/>
      </c>
      <c r="E10" s="270" t="e">
        <f t="shared" si="0"/>
        <v>#VALUE!</v>
      </c>
      <c r="F10" s="270" t="e">
        <f t="shared" si="1"/>
        <v>#VALUE!</v>
      </c>
      <c r="G10" t="e">
        <f t="shared" si="2"/>
        <v>#VALUE!</v>
      </c>
    </row>
    <row r="11" spans="1:7" x14ac:dyDescent="0.3">
      <c r="D11" s="269" t="str">
        <f>IF(AND('General Information'!$H$405=TRUE, 'General Information'!D415&lt;&gt;"", 'General Information'!E415&lt;&gt;"", 'General Information'!F415&lt;&gt;"", 'General Information'!G415&lt;&gt;""), _xlfn.WEBSERVICE("https://nominatim.openstreetmap.org/search?q=" &amp; 'General Information'!K415 &amp; "&amp;format=json&amp;polygon=1&amp;addressdetails=1"), "")</f>
        <v/>
      </c>
      <c r="E11" s="270" t="e">
        <f t="shared" si="0"/>
        <v>#VALUE!</v>
      </c>
      <c r="F11" s="270" t="e">
        <f t="shared" si="1"/>
        <v>#VALUE!</v>
      </c>
      <c r="G11" t="e">
        <f t="shared" si="2"/>
        <v>#VALUE!</v>
      </c>
    </row>
    <row r="12" spans="1:7" x14ac:dyDescent="0.3">
      <c r="D12" s="269" t="str">
        <f>IF(AND('General Information'!$H$405=TRUE, 'General Information'!D416&lt;&gt;"", 'General Information'!E416&lt;&gt;"", 'General Information'!F416&lt;&gt;"", 'General Information'!G416&lt;&gt;""), _xlfn.WEBSERVICE("https://nominatim.openstreetmap.org/search?q=" &amp; 'General Information'!K416 &amp; "&amp;format=json&amp;polygon=1&amp;addressdetails=1"), "")</f>
        <v/>
      </c>
      <c r="E12" s="270" t="e">
        <f t="shared" si="0"/>
        <v>#VALUE!</v>
      </c>
      <c r="F12" s="270" t="e">
        <f t="shared" si="1"/>
        <v>#VALUE!</v>
      </c>
      <c r="G12" t="e">
        <f t="shared" si="2"/>
        <v>#VALUE!</v>
      </c>
    </row>
    <row r="13" spans="1:7" x14ac:dyDescent="0.3">
      <c r="D13" s="269" t="str">
        <f>IF(AND('General Information'!$H$405=TRUE, 'General Information'!D417&lt;&gt;"", 'General Information'!E417&lt;&gt;"", 'General Information'!F417&lt;&gt;"", 'General Information'!G417&lt;&gt;""), _xlfn.WEBSERVICE("https://nominatim.openstreetmap.org/search?q=" &amp; 'General Information'!K417 &amp; "&amp;format=json&amp;polygon=1&amp;addressdetails=1"), "")</f>
        <v/>
      </c>
      <c r="E13" s="270" t="e">
        <f t="shared" si="0"/>
        <v>#VALUE!</v>
      </c>
      <c r="F13" s="270" t="e">
        <f t="shared" si="1"/>
        <v>#VALUE!</v>
      </c>
      <c r="G13" t="e">
        <f t="shared" si="2"/>
        <v>#VALUE!</v>
      </c>
    </row>
    <row r="14" spans="1:7" x14ac:dyDescent="0.3">
      <c r="D14" s="269" t="str">
        <f>IF(AND('General Information'!$H$405=TRUE, 'General Information'!D418&lt;&gt;"", 'General Information'!E418&lt;&gt;"", 'General Information'!F418&lt;&gt;"", 'General Information'!G418&lt;&gt;""), _xlfn.WEBSERVICE("https://nominatim.openstreetmap.org/search?q=" &amp; 'General Information'!K418 &amp; "&amp;format=json&amp;polygon=1&amp;addressdetails=1"), "")</f>
        <v/>
      </c>
      <c r="E14" s="270" t="e">
        <f t="shared" si="0"/>
        <v>#VALUE!</v>
      </c>
      <c r="F14" s="270" t="e">
        <f t="shared" si="1"/>
        <v>#VALUE!</v>
      </c>
      <c r="G14" t="e">
        <f t="shared" si="2"/>
        <v>#VALUE!</v>
      </c>
    </row>
    <row r="15" spans="1:7" x14ac:dyDescent="0.3">
      <c r="D15" s="269" t="str">
        <f>IF(AND('General Information'!$H$405=TRUE, 'General Information'!D419&lt;&gt;"", 'General Information'!E419&lt;&gt;"", 'General Information'!F419&lt;&gt;"", 'General Information'!G419&lt;&gt;""), _xlfn.WEBSERVICE("https://nominatim.openstreetmap.org/search?q=" &amp; 'General Information'!K419 &amp; "&amp;format=json&amp;polygon=1&amp;addressdetails=1"), "")</f>
        <v/>
      </c>
      <c r="E15" s="270" t="e">
        <f t="shared" si="0"/>
        <v>#VALUE!</v>
      </c>
      <c r="F15" s="270" t="e">
        <f t="shared" si="1"/>
        <v>#VALUE!</v>
      </c>
      <c r="G15" t="e">
        <f t="shared" si="2"/>
        <v>#VALUE!</v>
      </c>
    </row>
    <row r="16" spans="1:7" x14ac:dyDescent="0.3">
      <c r="D16" s="269" t="str">
        <f>IF(AND('General Information'!$H$405=TRUE, 'General Information'!D420&lt;&gt;"", 'General Information'!E420&lt;&gt;"", 'General Information'!F420&lt;&gt;"", 'General Information'!G420&lt;&gt;""), _xlfn.WEBSERVICE("https://nominatim.openstreetmap.org/search?q=" &amp; 'General Information'!K420 &amp; "&amp;format=json&amp;polygon=1&amp;addressdetails=1"), "")</f>
        <v/>
      </c>
      <c r="E16" s="270" t="e">
        <f t="shared" si="0"/>
        <v>#VALUE!</v>
      </c>
      <c r="F16" s="270" t="e">
        <f t="shared" si="1"/>
        <v>#VALUE!</v>
      </c>
      <c r="G16" t="e">
        <f t="shared" si="2"/>
        <v>#VALUE!</v>
      </c>
    </row>
    <row r="17" spans="1:7" x14ac:dyDescent="0.3">
      <c r="A17" s="756" t="s">
        <v>9456</v>
      </c>
      <c r="B17" s="756"/>
      <c r="D17" s="269" t="str">
        <f>IF(AND('General Information'!$H$405=TRUE, 'General Information'!D421&lt;&gt;"", 'General Information'!E421&lt;&gt;"", 'General Information'!F421&lt;&gt;"", 'General Information'!G421&lt;&gt;""), _xlfn.WEBSERVICE("https://nominatim.openstreetmap.org/search?q=" &amp; 'General Information'!K421 &amp; "&amp;format=json&amp;polygon=1&amp;addressdetails=1"), "")</f>
        <v/>
      </c>
      <c r="E17" s="270" t="e">
        <f t="shared" si="0"/>
        <v>#VALUE!</v>
      </c>
      <c r="F17" s="270" t="e">
        <f t="shared" si="1"/>
        <v>#VALUE!</v>
      </c>
      <c r="G17" t="e">
        <f t="shared" si="2"/>
        <v>#VALUE!</v>
      </c>
    </row>
    <row r="18" spans="1:7" x14ac:dyDescent="0.3">
      <c r="A18" s="756"/>
      <c r="B18" s="756"/>
      <c r="D18" s="269" t="str">
        <f>IF(AND('General Information'!$H$405=TRUE, 'General Information'!D422&lt;&gt;"", 'General Information'!E422&lt;&gt;"", 'General Information'!F422&lt;&gt;"", 'General Information'!G422&lt;&gt;""), _xlfn.WEBSERVICE("https://nominatim.openstreetmap.org/search?q=" &amp; 'General Information'!K422 &amp; "&amp;format=json&amp;polygon=1&amp;addressdetails=1"), "")</f>
        <v/>
      </c>
      <c r="E18" s="270" t="e">
        <f t="shared" si="0"/>
        <v>#VALUE!</v>
      </c>
      <c r="F18" s="270" t="e">
        <f t="shared" si="1"/>
        <v>#VALUE!</v>
      </c>
      <c r="G18" t="e">
        <f t="shared" si="2"/>
        <v>#VALUE!</v>
      </c>
    </row>
    <row r="19" spans="1:7" x14ac:dyDescent="0.3">
      <c r="A19" s="756"/>
      <c r="B19" s="756"/>
      <c r="D19" s="269" t="str">
        <f>IF(AND('General Information'!$H$405=TRUE, 'General Information'!D423&lt;&gt;"", 'General Information'!E423&lt;&gt;"", 'General Information'!F423&lt;&gt;"", 'General Information'!G423&lt;&gt;""), _xlfn.WEBSERVICE("https://nominatim.openstreetmap.org/search?q=" &amp; 'General Information'!K423 &amp; "&amp;format=json&amp;polygon=1&amp;addressdetails=1"), "")</f>
        <v/>
      </c>
      <c r="E19" s="270" t="e">
        <f t="shared" si="0"/>
        <v>#VALUE!</v>
      </c>
      <c r="F19" s="270" t="e">
        <f t="shared" si="1"/>
        <v>#VALUE!</v>
      </c>
      <c r="G19" t="e">
        <f t="shared" si="2"/>
        <v>#VALUE!</v>
      </c>
    </row>
    <row r="20" spans="1:7" x14ac:dyDescent="0.3">
      <c r="D20" s="269" t="str">
        <f>IF(AND('General Information'!$H$405=TRUE, 'General Information'!D424&lt;&gt;"", 'General Information'!E424&lt;&gt;"", 'General Information'!F424&lt;&gt;"", 'General Information'!G424&lt;&gt;""), _xlfn.WEBSERVICE("https://nominatim.openstreetmap.org/search?q=" &amp; 'General Information'!K424 &amp; "&amp;format=json&amp;polygon=1&amp;addressdetails=1"), "")</f>
        <v/>
      </c>
      <c r="E20" s="270" t="e">
        <f t="shared" si="0"/>
        <v>#VALUE!</v>
      </c>
      <c r="F20" s="270" t="e">
        <f t="shared" si="1"/>
        <v>#VALUE!</v>
      </c>
      <c r="G20" t="e">
        <f t="shared" si="2"/>
        <v>#VALUE!</v>
      </c>
    </row>
    <row r="21" spans="1:7" x14ac:dyDescent="0.3">
      <c r="D21" s="269" t="str">
        <f>IF(AND('General Information'!$H$405=TRUE, 'General Information'!D425&lt;&gt;"", 'General Information'!E425&lt;&gt;"", 'General Information'!F425&lt;&gt;"", 'General Information'!G425&lt;&gt;""), _xlfn.WEBSERVICE("https://nominatim.openstreetmap.org/search?q=" &amp; 'General Information'!K425 &amp; "&amp;format=json&amp;polygon=1&amp;addressdetails=1"), "")</f>
        <v/>
      </c>
      <c r="E21" s="270" t="e">
        <f t="shared" si="0"/>
        <v>#VALUE!</v>
      </c>
      <c r="F21" s="270" t="e">
        <f t="shared" si="1"/>
        <v>#VALUE!</v>
      </c>
      <c r="G21" t="e">
        <f t="shared" si="2"/>
        <v>#VALUE!</v>
      </c>
    </row>
    <row r="22" spans="1:7" x14ac:dyDescent="0.3">
      <c r="D22" s="269" t="str">
        <f>IF(AND('General Information'!$H$405=TRUE, 'General Information'!D426&lt;&gt;"", 'General Information'!E426&lt;&gt;"", 'General Information'!F426&lt;&gt;"", 'General Information'!G426&lt;&gt;""), _xlfn.WEBSERVICE("https://nominatim.openstreetmap.org/search?q=" &amp; 'General Information'!K426 &amp; "&amp;format=json&amp;polygon=1&amp;addressdetails=1"), "")</f>
        <v/>
      </c>
      <c r="E22" s="270" t="e">
        <f t="shared" si="0"/>
        <v>#VALUE!</v>
      </c>
      <c r="F22" s="270" t="e">
        <f t="shared" si="1"/>
        <v>#VALUE!</v>
      </c>
      <c r="G22" t="e">
        <f t="shared" si="2"/>
        <v>#VALUE!</v>
      </c>
    </row>
    <row r="23" spans="1:7" x14ac:dyDescent="0.3">
      <c r="D23" s="269" t="str">
        <f>IF(AND('General Information'!$H$405=TRUE, 'General Information'!D427&lt;&gt;"", 'General Information'!E427&lt;&gt;"", 'General Information'!F427&lt;&gt;"", 'General Information'!G427&lt;&gt;""), _xlfn.WEBSERVICE("https://nominatim.openstreetmap.org/search?q=" &amp; 'General Information'!K427 &amp; "&amp;format=json&amp;polygon=1&amp;addressdetails=1"), "")</f>
        <v/>
      </c>
      <c r="E23" s="270" t="e">
        <f t="shared" si="0"/>
        <v>#VALUE!</v>
      </c>
      <c r="F23" s="270" t="e">
        <f t="shared" si="1"/>
        <v>#VALUE!</v>
      </c>
      <c r="G23" t="e">
        <f t="shared" si="2"/>
        <v>#VALUE!</v>
      </c>
    </row>
    <row r="24" spans="1:7" x14ac:dyDescent="0.3">
      <c r="D24" s="269" t="str">
        <f>IF(AND('General Information'!$H$405=TRUE, 'General Information'!D428&lt;&gt;"", 'General Information'!E428&lt;&gt;"", 'General Information'!F428&lt;&gt;"", 'General Information'!G428&lt;&gt;""), _xlfn.WEBSERVICE("https://nominatim.openstreetmap.org/search?q=" &amp; 'General Information'!K428 &amp; "&amp;format=json&amp;polygon=1&amp;addressdetails=1"), "")</f>
        <v/>
      </c>
      <c r="E24" s="270" t="e">
        <f t="shared" si="0"/>
        <v>#VALUE!</v>
      </c>
      <c r="F24" s="270" t="e">
        <f t="shared" si="1"/>
        <v>#VALUE!</v>
      </c>
      <c r="G24" t="e">
        <f t="shared" si="2"/>
        <v>#VALUE!</v>
      </c>
    </row>
    <row r="25" spans="1:7" x14ac:dyDescent="0.3">
      <c r="D25" s="269" t="str">
        <f>IF(AND('General Information'!$H$405=TRUE, 'General Information'!D429&lt;&gt;"", 'General Information'!E429&lt;&gt;"", 'General Information'!F429&lt;&gt;"", 'General Information'!G429&lt;&gt;""), _xlfn.WEBSERVICE("https://nominatim.openstreetmap.org/search?q=" &amp; 'General Information'!K429 &amp; "&amp;format=json&amp;polygon=1&amp;addressdetails=1"), "")</f>
        <v/>
      </c>
      <c r="E25" s="270" t="e">
        <f t="shared" si="0"/>
        <v>#VALUE!</v>
      </c>
      <c r="F25" s="270" t="e">
        <f t="shared" si="1"/>
        <v>#VALUE!</v>
      </c>
      <c r="G25" t="e">
        <f t="shared" si="2"/>
        <v>#VALUE!</v>
      </c>
    </row>
    <row r="26" spans="1:7" x14ac:dyDescent="0.3">
      <c r="D26" s="269" t="str">
        <f>IF(AND('General Information'!$H$405=TRUE, 'General Information'!D430&lt;&gt;"", 'General Information'!E430&lt;&gt;"", 'General Information'!F430&lt;&gt;"", 'General Information'!G430&lt;&gt;""), _xlfn.WEBSERVICE("https://nominatim.openstreetmap.org/search?q=" &amp; 'General Information'!K430 &amp; "&amp;format=json&amp;polygon=1&amp;addressdetails=1"), "")</f>
        <v/>
      </c>
      <c r="E26" s="270" t="e">
        <f t="shared" si="0"/>
        <v>#VALUE!</v>
      </c>
      <c r="F26" s="270" t="e">
        <f t="shared" si="1"/>
        <v>#VALUE!</v>
      </c>
      <c r="G26" t="e">
        <f t="shared" si="2"/>
        <v>#VALUE!</v>
      </c>
    </row>
    <row r="27" spans="1:7" x14ac:dyDescent="0.3">
      <c r="D27" s="269" t="str">
        <f>IF(AND('General Information'!$H$405=TRUE, 'General Information'!D431&lt;&gt;"", 'General Information'!E431&lt;&gt;"", 'General Information'!F431&lt;&gt;"", 'General Information'!G431&lt;&gt;""), _xlfn.WEBSERVICE("https://nominatim.openstreetmap.org/search?q=" &amp; 'General Information'!K431 &amp; "&amp;format=json&amp;polygon=1&amp;addressdetails=1"), "")</f>
        <v/>
      </c>
      <c r="E27" s="270" t="e">
        <f t="shared" si="0"/>
        <v>#VALUE!</v>
      </c>
      <c r="F27" s="270" t="e">
        <f t="shared" si="1"/>
        <v>#VALUE!</v>
      </c>
      <c r="G27" t="e">
        <f t="shared" si="2"/>
        <v>#VALUE!</v>
      </c>
    </row>
    <row r="28" spans="1:7" x14ac:dyDescent="0.3">
      <c r="D28" s="269" t="str">
        <f>IF(AND('General Information'!$H$405=TRUE, 'General Information'!D432&lt;&gt;"", 'General Information'!E432&lt;&gt;"", 'General Information'!F432&lt;&gt;"", 'General Information'!G432&lt;&gt;""), _xlfn.WEBSERVICE("https://nominatim.openstreetmap.org/search?q=" &amp; 'General Information'!K432 &amp; "&amp;format=json&amp;polygon=1&amp;addressdetails=1"), "")</f>
        <v/>
      </c>
      <c r="E28" s="270" t="e">
        <f t="shared" si="0"/>
        <v>#VALUE!</v>
      </c>
      <c r="F28" s="270" t="e">
        <f t="shared" si="1"/>
        <v>#VALUE!</v>
      </c>
      <c r="G28" t="e">
        <f t="shared" si="2"/>
        <v>#VALUE!</v>
      </c>
    </row>
    <row r="29" spans="1:7" x14ac:dyDescent="0.3">
      <c r="D29" s="269" t="str">
        <f>IF(AND('General Information'!$H$405=TRUE, 'General Information'!D433&lt;&gt;"", 'General Information'!E433&lt;&gt;"", 'General Information'!F433&lt;&gt;"", 'General Information'!G433&lt;&gt;""), _xlfn.WEBSERVICE("https://nominatim.openstreetmap.org/search?q=" &amp; 'General Information'!K433 &amp; "&amp;format=json&amp;polygon=1&amp;addressdetails=1"), "")</f>
        <v/>
      </c>
      <c r="E29" s="270" t="e">
        <f t="shared" si="0"/>
        <v>#VALUE!</v>
      </c>
      <c r="F29" s="270" t="e">
        <f t="shared" si="1"/>
        <v>#VALUE!</v>
      </c>
      <c r="G29" t="e">
        <f t="shared" si="2"/>
        <v>#VALUE!</v>
      </c>
    </row>
    <row r="30" spans="1:7" x14ac:dyDescent="0.3">
      <c r="D30" s="269" t="str">
        <f>IF(AND('General Information'!$H$405=TRUE, 'General Information'!D434&lt;&gt;"", 'General Information'!E434&lt;&gt;"", 'General Information'!F434&lt;&gt;"", 'General Information'!G434&lt;&gt;""), _xlfn.WEBSERVICE("https://nominatim.openstreetmap.org/search?q=" &amp; 'General Information'!K434 &amp; "&amp;format=json&amp;polygon=1&amp;addressdetails=1"), "")</f>
        <v/>
      </c>
      <c r="E30" s="270" t="e">
        <f t="shared" si="0"/>
        <v>#VALUE!</v>
      </c>
      <c r="F30" s="270" t="e">
        <f t="shared" si="1"/>
        <v>#VALUE!</v>
      </c>
      <c r="G30" t="e">
        <f t="shared" si="2"/>
        <v>#VALUE!</v>
      </c>
    </row>
    <row r="31" spans="1:7" x14ac:dyDescent="0.3">
      <c r="D31" s="269" t="str">
        <f>IF(AND('General Information'!$H$405=TRUE, 'General Information'!D435&lt;&gt;"", 'General Information'!E435&lt;&gt;"", 'General Information'!F435&lt;&gt;"", 'General Information'!G435&lt;&gt;""), _xlfn.WEBSERVICE("https://nominatim.openstreetmap.org/search?q=" &amp; 'General Information'!K435 &amp; "&amp;format=json&amp;polygon=1&amp;addressdetails=1"), "")</f>
        <v/>
      </c>
      <c r="E31" s="270" t="e">
        <f t="shared" si="0"/>
        <v>#VALUE!</v>
      </c>
      <c r="F31" s="270" t="e">
        <f t="shared" si="1"/>
        <v>#VALUE!</v>
      </c>
      <c r="G31" t="e">
        <f t="shared" si="2"/>
        <v>#VALUE!</v>
      </c>
    </row>
    <row r="32" spans="1:7" x14ac:dyDescent="0.3">
      <c r="D32" s="269" t="str">
        <f>IF(AND('General Information'!$H$405=TRUE, 'General Information'!D436&lt;&gt;"", 'General Information'!E436&lt;&gt;"", 'General Information'!F436&lt;&gt;"", 'General Information'!G436&lt;&gt;""), _xlfn.WEBSERVICE("https://nominatim.openstreetmap.org/search?q=" &amp; 'General Information'!K436 &amp; "&amp;format=json&amp;polygon=1&amp;addressdetails=1"), "")</f>
        <v/>
      </c>
      <c r="E32" s="270" t="e">
        <f t="shared" si="0"/>
        <v>#VALUE!</v>
      </c>
      <c r="F32" s="270" t="e">
        <f t="shared" si="1"/>
        <v>#VALUE!</v>
      </c>
      <c r="G32" t="e">
        <f t="shared" si="2"/>
        <v>#VALUE!</v>
      </c>
    </row>
    <row r="33" spans="4:7" x14ac:dyDescent="0.3">
      <c r="D33" s="269" t="str">
        <f>IF(AND('General Information'!$H$405=TRUE, 'General Information'!D437&lt;&gt;"", 'General Information'!E437&lt;&gt;"", 'General Information'!F437&lt;&gt;"", 'General Information'!G437&lt;&gt;""), _xlfn.WEBSERVICE("https://nominatim.openstreetmap.org/search?q=" &amp; 'General Information'!K437 &amp; "&amp;format=json&amp;polygon=1&amp;addressdetails=1"), "")</f>
        <v/>
      </c>
      <c r="E33" s="270" t="e">
        <f t="shared" si="0"/>
        <v>#VALUE!</v>
      </c>
      <c r="F33" s="270" t="e">
        <f t="shared" si="1"/>
        <v>#VALUE!</v>
      </c>
      <c r="G33" t="e">
        <f t="shared" si="2"/>
        <v>#VALUE!</v>
      </c>
    </row>
    <row r="34" spans="4:7" x14ac:dyDescent="0.3">
      <c r="D34" s="269" t="str">
        <f>IF(AND('General Information'!$H$405=TRUE, 'General Information'!D438&lt;&gt;"", 'General Information'!E438&lt;&gt;"", 'General Information'!F438&lt;&gt;"", 'General Information'!G438&lt;&gt;""), _xlfn.WEBSERVICE("https://nominatim.openstreetmap.org/search?q=" &amp; 'General Information'!K438 &amp; "&amp;format=json&amp;polygon=1&amp;addressdetails=1"), "")</f>
        <v/>
      </c>
      <c r="E34" s="270" t="e">
        <f t="shared" si="0"/>
        <v>#VALUE!</v>
      </c>
      <c r="F34" s="270" t="e">
        <f t="shared" si="1"/>
        <v>#VALUE!</v>
      </c>
      <c r="G34" t="e">
        <f t="shared" si="2"/>
        <v>#VALUE!</v>
      </c>
    </row>
    <row r="35" spans="4:7" x14ac:dyDescent="0.3">
      <c r="D35" s="269" t="str">
        <f>IF(AND('General Information'!$H$405=TRUE, 'General Information'!D439&lt;&gt;"", 'General Information'!E439&lt;&gt;"", 'General Information'!F439&lt;&gt;"", 'General Information'!G439&lt;&gt;""), _xlfn.WEBSERVICE("https://nominatim.openstreetmap.org/search?q=" &amp; 'General Information'!K439 &amp; "&amp;format=json&amp;polygon=1&amp;addressdetails=1"), "")</f>
        <v/>
      </c>
      <c r="E35" s="270" t="e">
        <f t="shared" si="0"/>
        <v>#VALUE!</v>
      </c>
      <c r="F35" s="270" t="e">
        <f t="shared" si="1"/>
        <v>#VALUE!</v>
      </c>
      <c r="G35" t="e">
        <f t="shared" si="2"/>
        <v>#VALUE!</v>
      </c>
    </row>
    <row r="36" spans="4:7" x14ac:dyDescent="0.3">
      <c r="D36" s="269" t="str">
        <f>IF(AND('General Information'!$H$405=TRUE, 'General Information'!D440&lt;&gt;"", 'General Information'!E440&lt;&gt;"", 'General Information'!F440&lt;&gt;"", 'General Information'!G440&lt;&gt;""), _xlfn.WEBSERVICE("https://nominatim.openstreetmap.org/search?q=" &amp; 'General Information'!K440 &amp; "&amp;format=json&amp;polygon=1&amp;addressdetails=1"), "")</f>
        <v/>
      </c>
      <c r="E36" s="270" t="e">
        <f t="shared" si="0"/>
        <v>#VALUE!</v>
      </c>
      <c r="F36" s="270" t="e">
        <f t="shared" si="1"/>
        <v>#VALUE!</v>
      </c>
      <c r="G36" t="e">
        <f t="shared" si="2"/>
        <v>#VALUE!</v>
      </c>
    </row>
    <row r="37" spans="4:7" x14ac:dyDescent="0.3">
      <c r="D37" s="269" t="str">
        <f>IF(AND('General Information'!$H$405=TRUE, 'General Information'!D441&lt;&gt;"", 'General Information'!E441&lt;&gt;"", 'General Information'!F441&lt;&gt;"", 'General Information'!G441&lt;&gt;""), _xlfn.WEBSERVICE("https://nominatim.openstreetmap.org/search?q=" &amp; 'General Information'!K441 &amp; "&amp;format=json&amp;polygon=1&amp;addressdetails=1"), "")</f>
        <v/>
      </c>
      <c r="E37" s="270" t="e">
        <f t="shared" si="0"/>
        <v>#VALUE!</v>
      </c>
      <c r="F37" s="270" t="e">
        <f t="shared" si="1"/>
        <v>#VALUE!</v>
      </c>
      <c r="G37" t="e">
        <f t="shared" si="2"/>
        <v>#VALUE!</v>
      </c>
    </row>
    <row r="38" spans="4:7" x14ac:dyDescent="0.3">
      <c r="D38" s="269" t="str">
        <f>IF(AND('General Information'!$H$405=TRUE, 'General Information'!D442&lt;&gt;"", 'General Information'!E442&lt;&gt;"", 'General Information'!F442&lt;&gt;"", 'General Information'!G442&lt;&gt;""), _xlfn.WEBSERVICE("https://nominatim.openstreetmap.org/search?q=" &amp; 'General Information'!K442 &amp; "&amp;format=json&amp;polygon=1&amp;addressdetails=1"), "")</f>
        <v/>
      </c>
      <c r="E38" s="270" t="e">
        <f t="shared" si="0"/>
        <v>#VALUE!</v>
      </c>
      <c r="F38" s="270" t="e">
        <f t="shared" si="1"/>
        <v>#VALUE!</v>
      </c>
      <c r="G38" t="e">
        <f t="shared" si="2"/>
        <v>#VALUE!</v>
      </c>
    </row>
    <row r="39" spans="4:7" x14ac:dyDescent="0.3">
      <c r="D39" s="269" t="str">
        <f>IF(AND('General Information'!$H$405=TRUE, 'General Information'!D443&lt;&gt;"", 'General Information'!E443&lt;&gt;"", 'General Information'!F443&lt;&gt;"", 'General Information'!G443&lt;&gt;""), _xlfn.WEBSERVICE("https://nominatim.openstreetmap.org/search?q=" &amp; 'General Information'!K443 &amp; "&amp;format=json&amp;polygon=1&amp;addressdetails=1"), "")</f>
        <v/>
      </c>
      <c r="E39" s="270" t="e">
        <f t="shared" si="0"/>
        <v>#VALUE!</v>
      </c>
      <c r="F39" s="270" t="e">
        <f t="shared" si="1"/>
        <v>#VALUE!</v>
      </c>
      <c r="G39" t="e">
        <f t="shared" si="2"/>
        <v>#VALUE!</v>
      </c>
    </row>
    <row r="40" spans="4:7" x14ac:dyDescent="0.3">
      <c r="D40" s="269" t="str">
        <f>IF(AND('General Information'!$H$405=TRUE, 'General Information'!D444&lt;&gt;"", 'General Information'!E444&lt;&gt;"", 'General Information'!F444&lt;&gt;"", 'General Information'!G444&lt;&gt;""), _xlfn.WEBSERVICE("https://nominatim.openstreetmap.org/search?q=" &amp; 'General Information'!K444 &amp; "&amp;format=json&amp;polygon=1&amp;addressdetails=1"), "")</f>
        <v/>
      </c>
      <c r="E40" s="270" t="e">
        <f t="shared" si="0"/>
        <v>#VALUE!</v>
      </c>
      <c r="F40" s="270" t="e">
        <f t="shared" si="1"/>
        <v>#VALUE!</v>
      </c>
      <c r="G40" t="e">
        <f t="shared" si="2"/>
        <v>#VALUE!</v>
      </c>
    </row>
    <row r="41" spans="4:7" x14ac:dyDescent="0.3">
      <c r="D41" s="269" t="str">
        <f>IF(AND('General Information'!$H$405=TRUE, 'General Information'!D445&lt;&gt;"", 'General Information'!E445&lt;&gt;"", 'General Information'!F445&lt;&gt;"", 'General Information'!G445&lt;&gt;""), _xlfn.WEBSERVICE("https://nominatim.openstreetmap.org/search?q=" &amp; 'General Information'!K445 &amp; "&amp;format=json&amp;polygon=1&amp;addressdetails=1"), "")</f>
        <v/>
      </c>
      <c r="E41" s="270" t="e">
        <f t="shared" si="0"/>
        <v>#VALUE!</v>
      </c>
      <c r="F41" s="270" t="e">
        <f t="shared" si="1"/>
        <v>#VALUE!</v>
      </c>
      <c r="G41" t="e">
        <f t="shared" si="2"/>
        <v>#VALUE!</v>
      </c>
    </row>
    <row r="42" spans="4:7" x14ac:dyDescent="0.3">
      <c r="D42" s="269" t="str">
        <f>IF(AND('General Information'!$H$405=TRUE, 'General Information'!D446&lt;&gt;"", 'General Information'!E446&lt;&gt;"", 'General Information'!F446&lt;&gt;"", 'General Information'!G446&lt;&gt;""), _xlfn.WEBSERVICE("https://nominatim.openstreetmap.org/search?q=" &amp; 'General Information'!K446 &amp; "&amp;format=json&amp;polygon=1&amp;addressdetails=1"), "")</f>
        <v/>
      </c>
      <c r="E42" s="270" t="e">
        <f t="shared" si="0"/>
        <v>#VALUE!</v>
      </c>
      <c r="F42" s="270" t="e">
        <f t="shared" si="1"/>
        <v>#VALUE!</v>
      </c>
      <c r="G42" t="e">
        <f t="shared" si="2"/>
        <v>#VALUE!</v>
      </c>
    </row>
    <row r="43" spans="4:7" x14ac:dyDescent="0.3">
      <c r="D43" s="269" t="str">
        <f>IF(AND('General Information'!$H$405=TRUE, 'General Information'!D447&lt;&gt;"", 'General Information'!E447&lt;&gt;"", 'General Information'!F447&lt;&gt;"", 'General Information'!G447&lt;&gt;""), _xlfn.WEBSERVICE("https://nominatim.openstreetmap.org/search?q=" &amp; 'General Information'!K447 &amp; "&amp;format=json&amp;polygon=1&amp;addressdetails=1"), "")</f>
        <v/>
      </c>
      <c r="E43" s="270" t="e">
        <f t="shared" si="0"/>
        <v>#VALUE!</v>
      </c>
      <c r="F43" s="270" t="e">
        <f t="shared" si="1"/>
        <v>#VALUE!</v>
      </c>
      <c r="G43" t="e">
        <f t="shared" si="2"/>
        <v>#VALUE!</v>
      </c>
    </row>
    <row r="44" spans="4:7" x14ac:dyDescent="0.3">
      <c r="D44" s="269" t="str">
        <f>IF(AND('General Information'!$H$405=TRUE, 'General Information'!D448&lt;&gt;"", 'General Information'!E448&lt;&gt;"", 'General Information'!F448&lt;&gt;"", 'General Information'!G448&lt;&gt;""), _xlfn.WEBSERVICE("https://nominatim.openstreetmap.org/search?q=" &amp; 'General Information'!K448 &amp; "&amp;format=json&amp;polygon=1&amp;addressdetails=1"), "")</f>
        <v/>
      </c>
      <c r="E44" s="270" t="e">
        <f t="shared" si="0"/>
        <v>#VALUE!</v>
      </c>
      <c r="F44" s="270" t="e">
        <f t="shared" si="1"/>
        <v>#VALUE!</v>
      </c>
      <c r="G44" t="e">
        <f t="shared" si="2"/>
        <v>#VALUE!</v>
      </c>
    </row>
    <row r="45" spans="4:7" x14ac:dyDescent="0.3">
      <c r="D45" s="269" t="str">
        <f>IF(AND('General Information'!$H$405=TRUE, 'General Information'!D449&lt;&gt;"", 'General Information'!E449&lt;&gt;"", 'General Information'!F449&lt;&gt;"", 'General Information'!G449&lt;&gt;""), _xlfn.WEBSERVICE("https://nominatim.openstreetmap.org/search?q=" &amp; 'General Information'!K449 &amp; "&amp;format=json&amp;polygon=1&amp;addressdetails=1"), "")</f>
        <v/>
      </c>
      <c r="E45" s="270" t="e">
        <f t="shared" si="0"/>
        <v>#VALUE!</v>
      </c>
      <c r="F45" s="270" t="e">
        <f t="shared" si="1"/>
        <v>#VALUE!</v>
      </c>
      <c r="G45" t="e">
        <f t="shared" si="2"/>
        <v>#VALUE!</v>
      </c>
    </row>
    <row r="46" spans="4:7" x14ac:dyDescent="0.3">
      <c r="D46" s="269" t="str">
        <f>IF(AND('General Information'!$H$405=TRUE, 'General Information'!D450&lt;&gt;"", 'General Information'!E450&lt;&gt;"", 'General Information'!F450&lt;&gt;"", 'General Information'!G450&lt;&gt;""), _xlfn.WEBSERVICE("https://nominatim.openstreetmap.org/search?q=" &amp; 'General Information'!K450 &amp; "&amp;format=json&amp;polygon=1&amp;addressdetails=1"), "")</f>
        <v/>
      </c>
      <c r="E46" s="270" t="e">
        <f t="shared" si="0"/>
        <v>#VALUE!</v>
      </c>
      <c r="F46" s="270" t="e">
        <f t="shared" si="1"/>
        <v>#VALUE!</v>
      </c>
      <c r="G46" t="e">
        <f t="shared" si="2"/>
        <v>#VALUE!</v>
      </c>
    </row>
    <row r="47" spans="4:7" x14ac:dyDescent="0.3">
      <c r="D47" s="269" t="str">
        <f>IF(AND('General Information'!$H$405=TRUE, 'General Information'!D451&lt;&gt;"", 'General Information'!E451&lt;&gt;"", 'General Information'!F451&lt;&gt;"", 'General Information'!G451&lt;&gt;""), _xlfn.WEBSERVICE("https://nominatim.openstreetmap.org/search?q=" &amp; 'General Information'!K451 &amp; "&amp;format=json&amp;polygon=1&amp;addressdetails=1"), "")</f>
        <v/>
      </c>
      <c r="E47" s="270" t="e">
        <f t="shared" si="0"/>
        <v>#VALUE!</v>
      </c>
      <c r="F47" s="270" t="e">
        <f t="shared" si="1"/>
        <v>#VALUE!</v>
      </c>
      <c r="G47" t="e">
        <f t="shared" si="2"/>
        <v>#VALUE!</v>
      </c>
    </row>
    <row r="48" spans="4:7" x14ac:dyDescent="0.3">
      <c r="D48" s="269" t="str">
        <f>IF(AND('General Information'!$H$405=TRUE, 'General Information'!D452&lt;&gt;"", 'General Information'!E452&lt;&gt;"", 'General Information'!F452&lt;&gt;"", 'General Information'!G452&lt;&gt;""), _xlfn.WEBSERVICE("https://nominatim.openstreetmap.org/search?q=" &amp; 'General Information'!K452 &amp; "&amp;format=json&amp;polygon=1&amp;addressdetails=1"), "")</f>
        <v/>
      </c>
      <c r="E48" s="270" t="e">
        <f t="shared" si="0"/>
        <v>#VALUE!</v>
      </c>
      <c r="F48" s="270" t="e">
        <f t="shared" si="1"/>
        <v>#VALUE!</v>
      </c>
      <c r="G48" t="e">
        <f t="shared" si="2"/>
        <v>#VALUE!</v>
      </c>
    </row>
    <row r="49" spans="4:7" x14ac:dyDescent="0.3">
      <c r="D49" s="269" t="str">
        <f>IF(AND('General Information'!$H$405=TRUE, 'General Information'!D453&lt;&gt;"", 'General Information'!E453&lt;&gt;"", 'General Information'!F453&lt;&gt;"", 'General Information'!G453&lt;&gt;""), _xlfn.WEBSERVICE("https://nominatim.openstreetmap.org/search?q=" &amp; 'General Information'!K453 &amp; "&amp;format=json&amp;polygon=1&amp;addressdetails=1"), "")</f>
        <v/>
      </c>
      <c r="E49" s="270" t="e">
        <f t="shared" si="0"/>
        <v>#VALUE!</v>
      </c>
      <c r="F49" s="270" t="e">
        <f t="shared" si="1"/>
        <v>#VALUE!</v>
      </c>
      <c r="G49" t="e">
        <f t="shared" si="2"/>
        <v>#VALUE!</v>
      </c>
    </row>
    <row r="50" spans="4:7" x14ac:dyDescent="0.3">
      <c r="D50" s="269" t="str">
        <f>IF(AND('General Information'!$H$405=TRUE, 'General Information'!D454&lt;&gt;"", 'General Information'!E454&lt;&gt;"", 'General Information'!F454&lt;&gt;"", 'General Information'!G454&lt;&gt;""), _xlfn.WEBSERVICE("https://nominatim.openstreetmap.org/search?q=" &amp; 'General Information'!K454 &amp; "&amp;format=json&amp;polygon=1&amp;addressdetails=1"), "")</f>
        <v/>
      </c>
      <c r="E50" s="270" t="e">
        <f t="shared" si="0"/>
        <v>#VALUE!</v>
      </c>
      <c r="F50" s="270" t="e">
        <f t="shared" si="1"/>
        <v>#VALUE!</v>
      </c>
      <c r="G50" t="e">
        <f t="shared" si="2"/>
        <v>#VALUE!</v>
      </c>
    </row>
    <row r="51" spans="4:7" x14ac:dyDescent="0.3">
      <c r="D51" s="269" t="str">
        <f>IF(AND('General Information'!$H$405=TRUE, 'General Information'!D455&lt;&gt;"", 'General Information'!E455&lt;&gt;"", 'General Information'!F455&lt;&gt;"", 'General Information'!G455&lt;&gt;""), _xlfn.WEBSERVICE("https://nominatim.openstreetmap.org/search?q=" &amp; 'General Information'!K455 &amp; "&amp;format=json&amp;polygon=1&amp;addressdetails=1"), "")</f>
        <v/>
      </c>
      <c r="E51" s="270" t="e">
        <f t="shared" si="0"/>
        <v>#VALUE!</v>
      </c>
      <c r="F51" s="270" t="e">
        <f t="shared" si="1"/>
        <v>#VALUE!</v>
      </c>
      <c r="G51" t="e">
        <f t="shared" si="2"/>
        <v>#VALUE!</v>
      </c>
    </row>
    <row r="52" spans="4:7" x14ac:dyDescent="0.3">
      <c r="D52" s="269" t="str">
        <f>IF(AND('General Information'!$H$405=TRUE, 'General Information'!D456&lt;&gt;"", 'General Information'!E456&lt;&gt;"", 'General Information'!F456&lt;&gt;"", 'General Information'!G456&lt;&gt;""), _xlfn.WEBSERVICE("https://nominatim.openstreetmap.org/search?q=" &amp; 'General Information'!K456 &amp; "&amp;format=json&amp;polygon=1&amp;addressdetails=1"), "")</f>
        <v/>
      </c>
      <c r="E52" s="270" t="e">
        <f t="shared" si="0"/>
        <v>#VALUE!</v>
      </c>
      <c r="F52" s="270" t="e">
        <f t="shared" si="1"/>
        <v>#VALUE!</v>
      </c>
      <c r="G52" t="e">
        <f t="shared" si="2"/>
        <v>#VALUE!</v>
      </c>
    </row>
    <row r="53" spans="4:7" x14ac:dyDescent="0.3">
      <c r="D53" s="269" t="str">
        <f>IF(AND('General Information'!$H$405=TRUE, 'General Information'!D457&lt;&gt;"", 'General Information'!E457&lt;&gt;"", 'General Information'!F457&lt;&gt;"", 'General Information'!G457&lt;&gt;""), _xlfn.WEBSERVICE("https://nominatim.openstreetmap.org/search?q=" &amp; 'General Information'!K457 &amp; "&amp;format=json&amp;polygon=1&amp;addressdetails=1"), "")</f>
        <v/>
      </c>
      <c r="E53" s="270" t="e">
        <f t="shared" si="0"/>
        <v>#VALUE!</v>
      </c>
      <c r="F53" s="270" t="e">
        <f t="shared" si="1"/>
        <v>#VALUE!</v>
      </c>
      <c r="G53" t="e">
        <f t="shared" si="2"/>
        <v>#VALUE!</v>
      </c>
    </row>
    <row r="54" spans="4:7" x14ac:dyDescent="0.3">
      <c r="D54" s="269" t="str">
        <f>IF(AND('General Information'!$H$405=TRUE, 'General Information'!D458&lt;&gt;"", 'General Information'!E458&lt;&gt;"", 'General Information'!F458&lt;&gt;"", 'General Information'!G458&lt;&gt;""), _xlfn.WEBSERVICE("https://nominatim.openstreetmap.org/search?q=" &amp; 'General Information'!K458 &amp; "&amp;format=json&amp;polygon=1&amp;addressdetails=1"), "")</f>
        <v/>
      </c>
      <c r="E54" s="270" t="e">
        <f t="shared" si="0"/>
        <v>#VALUE!</v>
      </c>
      <c r="F54" s="270" t="e">
        <f t="shared" si="1"/>
        <v>#VALUE!</v>
      </c>
      <c r="G54" t="e">
        <f t="shared" si="2"/>
        <v>#VALUE!</v>
      </c>
    </row>
    <row r="55" spans="4:7" x14ac:dyDescent="0.3">
      <c r="D55" s="269" t="str">
        <f>IF(AND('General Information'!$H$405=TRUE, 'General Information'!D459&lt;&gt;"", 'General Information'!E459&lt;&gt;"", 'General Information'!F459&lt;&gt;"", 'General Information'!G459&lt;&gt;""), _xlfn.WEBSERVICE("https://nominatim.openstreetmap.org/search?q=" &amp; 'General Information'!K459 &amp; "&amp;format=json&amp;polygon=1&amp;addressdetails=1"), "")</f>
        <v/>
      </c>
      <c r="E55" s="270" t="e">
        <f t="shared" si="0"/>
        <v>#VALUE!</v>
      </c>
      <c r="F55" s="270" t="e">
        <f t="shared" si="1"/>
        <v>#VALUE!</v>
      </c>
      <c r="G55" t="e">
        <f t="shared" si="2"/>
        <v>#VALUE!</v>
      </c>
    </row>
    <row r="56" spans="4:7" x14ac:dyDescent="0.3">
      <c r="D56" s="269" t="str">
        <f>IF(AND('General Information'!$H$405=TRUE, 'General Information'!D460&lt;&gt;"", 'General Information'!E460&lt;&gt;"", 'General Information'!F460&lt;&gt;"", 'General Information'!G460&lt;&gt;""), _xlfn.WEBSERVICE("https://nominatim.openstreetmap.org/search?q=" &amp; 'General Information'!K460 &amp; "&amp;format=json&amp;polygon=1&amp;addressdetails=1"), "")</f>
        <v/>
      </c>
      <c r="E56" s="270" t="e">
        <f t="shared" si="0"/>
        <v>#VALUE!</v>
      </c>
      <c r="F56" s="270" t="e">
        <f t="shared" si="1"/>
        <v>#VALUE!</v>
      </c>
      <c r="G56" t="e">
        <f t="shared" si="2"/>
        <v>#VALUE!</v>
      </c>
    </row>
    <row r="57" spans="4:7" x14ac:dyDescent="0.3">
      <c r="D57" s="269" t="str">
        <f>IF(AND('General Information'!$H$405=TRUE, 'General Information'!D461&lt;&gt;"", 'General Information'!E461&lt;&gt;"", 'General Information'!F461&lt;&gt;"", 'General Information'!G461&lt;&gt;""), _xlfn.WEBSERVICE("https://nominatim.openstreetmap.org/search?q=" &amp; 'General Information'!K461 &amp; "&amp;format=json&amp;polygon=1&amp;addressdetails=1"), "")</f>
        <v/>
      </c>
      <c r="E57" s="270" t="e">
        <f t="shared" si="0"/>
        <v>#VALUE!</v>
      </c>
      <c r="F57" s="270" t="e">
        <f t="shared" si="1"/>
        <v>#VALUE!</v>
      </c>
      <c r="G57" t="e">
        <f t="shared" si="2"/>
        <v>#VALUE!</v>
      </c>
    </row>
    <row r="58" spans="4:7" x14ac:dyDescent="0.3">
      <c r="D58" s="269" t="str">
        <f>IF(AND('General Information'!$H$405=TRUE, 'General Information'!D462&lt;&gt;"", 'General Information'!E462&lt;&gt;"", 'General Information'!F462&lt;&gt;"", 'General Information'!G462&lt;&gt;""), _xlfn.WEBSERVICE("https://nominatim.openstreetmap.org/search?q=" &amp; 'General Information'!K462 &amp; "&amp;format=json&amp;polygon=1&amp;addressdetails=1"), "")</f>
        <v/>
      </c>
      <c r="E58" s="270" t="e">
        <f t="shared" si="0"/>
        <v>#VALUE!</v>
      </c>
      <c r="F58" s="270" t="e">
        <f t="shared" si="1"/>
        <v>#VALUE!</v>
      </c>
      <c r="G58" t="e">
        <f t="shared" si="2"/>
        <v>#VALUE!</v>
      </c>
    </row>
    <row r="59" spans="4:7" x14ac:dyDescent="0.3">
      <c r="D59" s="269" t="str">
        <f>IF(AND('General Information'!$H$405=TRUE, 'General Information'!D463&lt;&gt;"", 'General Information'!E463&lt;&gt;"", 'General Information'!F463&lt;&gt;"", 'General Information'!G463&lt;&gt;""), _xlfn.WEBSERVICE("https://nominatim.openstreetmap.org/search?q=" &amp; 'General Information'!K463 &amp; "&amp;format=json&amp;polygon=1&amp;addressdetails=1"), "")</f>
        <v/>
      </c>
      <c r="E59" s="270" t="e">
        <f t="shared" si="0"/>
        <v>#VALUE!</v>
      </c>
      <c r="F59" s="270" t="e">
        <f t="shared" si="1"/>
        <v>#VALUE!</v>
      </c>
      <c r="G59" t="e">
        <f t="shared" si="2"/>
        <v>#VALUE!</v>
      </c>
    </row>
    <row r="60" spans="4:7" x14ac:dyDescent="0.3">
      <c r="D60" s="269" t="str">
        <f>IF(AND('General Information'!$H$405=TRUE, 'General Information'!D464&lt;&gt;"", 'General Information'!E464&lt;&gt;"", 'General Information'!F464&lt;&gt;"", 'General Information'!G464&lt;&gt;""), _xlfn.WEBSERVICE("https://nominatim.openstreetmap.org/search?q=" &amp; 'General Information'!K464 &amp; "&amp;format=json&amp;polygon=1&amp;addressdetails=1"), "")</f>
        <v/>
      </c>
      <c r="E60" s="270" t="e">
        <f t="shared" si="0"/>
        <v>#VALUE!</v>
      </c>
      <c r="F60" s="270" t="e">
        <f t="shared" si="1"/>
        <v>#VALUE!</v>
      </c>
      <c r="G60" t="e">
        <f t="shared" si="2"/>
        <v>#VALUE!</v>
      </c>
    </row>
    <row r="61" spans="4:7" x14ac:dyDescent="0.3">
      <c r="D61" s="269" t="str">
        <f>IF(AND('General Information'!$H$405=TRUE, 'General Information'!D465&lt;&gt;"", 'General Information'!E465&lt;&gt;"", 'General Information'!F465&lt;&gt;"", 'General Information'!G465&lt;&gt;""), _xlfn.WEBSERVICE("https://nominatim.openstreetmap.org/search?q=" &amp; 'General Information'!K465 &amp; "&amp;format=json&amp;polygon=1&amp;addressdetails=1"), "")</f>
        <v/>
      </c>
      <c r="E61" s="270" t="e">
        <f t="shared" si="0"/>
        <v>#VALUE!</v>
      </c>
      <c r="F61" s="270" t="e">
        <f t="shared" si="1"/>
        <v>#VALUE!</v>
      </c>
      <c r="G61" t="e">
        <f t="shared" si="2"/>
        <v>#VALUE!</v>
      </c>
    </row>
    <row r="62" spans="4:7" x14ac:dyDescent="0.3">
      <c r="D62" s="269" t="str">
        <f>IF(AND('General Information'!$H$405=TRUE, 'General Information'!D466&lt;&gt;"", 'General Information'!E466&lt;&gt;"", 'General Information'!F466&lt;&gt;"", 'General Information'!G466&lt;&gt;""), _xlfn.WEBSERVICE("https://nominatim.openstreetmap.org/search?q=" &amp; 'General Information'!K466 &amp; "&amp;format=json&amp;polygon=1&amp;addressdetails=1"), "")</f>
        <v/>
      </c>
      <c r="E62" s="270" t="e">
        <f t="shared" si="0"/>
        <v>#VALUE!</v>
      </c>
      <c r="F62" s="270" t="e">
        <f t="shared" si="1"/>
        <v>#VALUE!</v>
      </c>
      <c r="G62" t="e">
        <f t="shared" si="2"/>
        <v>#VALUE!</v>
      </c>
    </row>
    <row r="63" spans="4:7" x14ac:dyDescent="0.3">
      <c r="D63" s="269" t="str">
        <f>IF(AND('General Information'!$H$405=TRUE, 'General Information'!D467&lt;&gt;"", 'General Information'!E467&lt;&gt;"", 'General Information'!F467&lt;&gt;"", 'General Information'!G467&lt;&gt;""), _xlfn.WEBSERVICE("https://nominatim.openstreetmap.org/search?q=" &amp; 'General Information'!K467 &amp; "&amp;format=json&amp;polygon=1&amp;addressdetails=1"), "")</f>
        <v/>
      </c>
      <c r="E63" s="270" t="e">
        <f t="shared" si="0"/>
        <v>#VALUE!</v>
      </c>
      <c r="F63" s="270" t="e">
        <f t="shared" si="1"/>
        <v>#VALUE!</v>
      </c>
      <c r="G63" t="e">
        <f t="shared" si="2"/>
        <v>#VALUE!</v>
      </c>
    </row>
    <row r="64" spans="4:7" x14ac:dyDescent="0.3">
      <c r="D64" s="269" t="str">
        <f>IF(AND('General Information'!$H$405=TRUE, 'General Information'!D468&lt;&gt;"", 'General Information'!E468&lt;&gt;"", 'General Information'!F468&lt;&gt;"", 'General Information'!G468&lt;&gt;""), _xlfn.WEBSERVICE("https://nominatim.openstreetmap.org/search?q=" &amp; 'General Information'!K468 &amp; "&amp;format=json&amp;polygon=1&amp;addressdetails=1"), "")</f>
        <v/>
      </c>
      <c r="E64" s="270" t="e">
        <f t="shared" si="0"/>
        <v>#VALUE!</v>
      </c>
      <c r="F64" s="270" t="e">
        <f t="shared" si="1"/>
        <v>#VALUE!</v>
      </c>
      <c r="G64" t="e">
        <f t="shared" si="2"/>
        <v>#VALUE!</v>
      </c>
    </row>
    <row r="65" spans="4:7" x14ac:dyDescent="0.3">
      <c r="D65" s="269" t="str">
        <f>IF(AND('General Information'!$H$405=TRUE, 'General Information'!D469&lt;&gt;"", 'General Information'!E469&lt;&gt;"", 'General Information'!F469&lt;&gt;"", 'General Information'!G469&lt;&gt;""), _xlfn.WEBSERVICE("https://nominatim.openstreetmap.org/search?q=" &amp; 'General Information'!K469 &amp; "&amp;format=json&amp;polygon=1&amp;addressdetails=1"), "")</f>
        <v/>
      </c>
      <c r="E65" s="270" t="e">
        <f t="shared" si="0"/>
        <v>#VALUE!</v>
      </c>
      <c r="F65" s="270" t="e">
        <f t="shared" si="1"/>
        <v>#VALUE!</v>
      </c>
      <c r="G65" t="e">
        <f t="shared" si="2"/>
        <v>#VALUE!</v>
      </c>
    </row>
    <row r="66" spans="4:7" x14ac:dyDescent="0.3">
      <c r="D66" s="269" t="str">
        <f>IF(AND('General Information'!$H$405=TRUE, 'General Information'!D470&lt;&gt;"", 'General Information'!E470&lt;&gt;"", 'General Information'!F470&lt;&gt;"", 'General Information'!G470&lt;&gt;""), _xlfn.WEBSERVICE("https://nominatim.openstreetmap.org/search?q=" &amp; 'General Information'!K470 &amp; "&amp;format=json&amp;polygon=1&amp;addressdetails=1"), "")</f>
        <v/>
      </c>
      <c r="E66" s="270" t="e">
        <f t="shared" si="0"/>
        <v>#VALUE!</v>
      </c>
      <c r="F66" s="270" t="e">
        <f t="shared" si="1"/>
        <v>#VALUE!</v>
      </c>
      <c r="G66" t="e">
        <f t="shared" si="2"/>
        <v>#VALUE!</v>
      </c>
    </row>
    <row r="67" spans="4:7" x14ac:dyDescent="0.3">
      <c r="D67" s="269" t="str">
        <f>IF(AND('General Information'!$H$405=TRUE, 'General Information'!D471&lt;&gt;"", 'General Information'!E471&lt;&gt;"", 'General Information'!F471&lt;&gt;"", 'General Information'!G471&lt;&gt;""), _xlfn.WEBSERVICE("https://nominatim.openstreetmap.org/search?q=" &amp; 'General Information'!K471 &amp; "&amp;format=json&amp;polygon=1&amp;addressdetails=1"), "")</f>
        <v/>
      </c>
      <c r="E67" s="270" t="e">
        <f t="shared" si="0"/>
        <v>#VALUE!</v>
      </c>
      <c r="F67" s="270" t="e">
        <f t="shared" si="1"/>
        <v>#VALUE!</v>
      </c>
      <c r="G67" t="e">
        <f t="shared" si="2"/>
        <v>#VALUE!</v>
      </c>
    </row>
    <row r="68" spans="4:7" x14ac:dyDescent="0.3">
      <c r="D68" s="269" t="str">
        <f>IF(AND('General Information'!$H$405=TRUE, 'General Information'!D472&lt;&gt;"", 'General Information'!E472&lt;&gt;"", 'General Information'!F472&lt;&gt;"", 'General Information'!G472&lt;&gt;""), _xlfn.WEBSERVICE("https://nominatim.openstreetmap.org/search?q=" &amp; 'General Information'!K472 &amp; "&amp;format=json&amp;polygon=1&amp;addressdetails=1"), "")</f>
        <v/>
      </c>
      <c r="E68" s="270" t="e">
        <f t="shared" si="0"/>
        <v>#VALUE!</v>
      </c>
      <c r="F68" s="270" t="e">
        <f t="shared" si="1"/>
        <v>#VALUE!</v>
      </c>
      <c r="G68" t="e">
        <f t="shared" si="2"/>
        <v>#VALUE!</v>
      </c>
    </row>
    <row r="69" spans="4:7" x14ac:dyDescent="0.3">
      <c r="D69" s="269" t="str">
        <f>IF(AND('General Information'!$H$405=TRUE, 'General Information'!D473&lt;&gt;"", 'General Information'!E473&lt;&gt;"", 'General Information'!F473&lt;&gt;"", 'General Information'!G473&lt;&gt;""), _xlfn.WEBSERVICE("https://nominatim.openstreetmap.org/search?q=" &amp; 'General Information'!K473 &amp; "&amp;format=json&amp;polygon=1&amp;addressdetails=1"), "")</f>
        <v/>
      </c>
      <c r="E69" s="270" t="e">
        <f t="shared" si="0"/>
        <v>#VALUE!</v>
      </c>
      <c r="F69" s="270" t="e">
        <f t="shared" si="1"/>
        <v>#VALUE!</v>
      </c>
      <c r="G69" t="e">
        <f t="shared" si="2"/>
        <v>#VALUE!</v>
      </c>
    </row>
    <row r="70" spans="4:7" x14ac:dyDescent="0.3">
      <c r="D70" s="269" t="str">
        <f>IF(AND('General Information'!$H$405=TRUE, 'General Information'!D474&lt;&gt;"", 'General Information'!E474&lt;&gt;"", 'General Information'!F474&lt;&gt;"", 'General Information'!G474&lt;&gt;""), _xlfn.WEBSERVICE("https://nominatim.openstreetmap.org/search?q=" &amp; 'General Information'!K474 &amp; "&amp;format=json&amp;polygon=1&amp;addressdetails=1"), "")</f>
        <v/>
      </c>
      <c r="E70" s="270" t="e">
        <f t="shared" si="0"/>
        <v>#VALUE!</v>
      </c>
      <c r="F70" s="270" t="e">
        <f t="shared" si="1"/>
        <v>#VALUE!</v>
      </c>
      <c r="G70" t="e">
        <f t="shared" si="2"/>
        <v>#VALUE!</v>
      </c>
    </row>
    <row r="71" spans="4:7" x14ac:dyDescent="0.3">
      <c r="D71" s="269" t="str">
        <f>IF(AND('General Information'!$H$405=TRUE, 'General Information'!D475&lt;&gt;"", 'General Information'!E475&lt;&gt;"", 'General Information'!F475&lt;&gt;"", 'General Information'!G475&lt;&gt;""), _xlfn.WEBSERVICE("https://nominatim.openstreetmap.org/search?q=" &amp; 'General Information'!K475 &amp; "&amp;format=json&amp;polygon=1&amp;addressdetails=1"), "")</f>
        <v/>
      </c>
      <c r="E71" s="270" t="e">
        <f t="shared" si="0"/>
        <v>#VALUE!</v>
      </c>
      <c r="F71" s="270" t="e">
        <f t="shared" si="1"/>
        <v>#VALUE!</v>
      </c>
      <c r="G71" t="e">
        <f t="shared" si="2"/>
        <v>#VALUE!</v>
      </c>
    </row>
    <row r="72" spans="4:7" x14ac:dyDescent="0.3">
      <c r="D72" s="269" t="str">
        <f>IF(AND('General Information'!$H$405=TRUE, 'General Information'!D476&lt;&gt;"", 'General Information'!E476&lt;&gt;"", 'General Information'!F476&lt;&gt;"", 'General Information'!G476&lt;&gt;""), _xlfn.WEBSERVICE("https://nominatim.openstreetmap.org/search?q=" &amp; 'General Information'!K476 &amp; "&amp;format=json&amp;polygon=1&amp;addressdetails=1"), "")</f>
        <v/>
      </c>
      <c r="E72" s="270" t="e">
        <f t="shared" si="0"/>
        <v>#VALUE!</v>
      </c>
      <c r="F72" s="270" t="e">
        <f t="shared" si="1"/>
        <v>#VALUE!</v>
      </c>
      <c r="G72" t="e">
        <f t="shared" si="2"/>
        <v>#VALUE!</v>
      </c>
    </row>
    <row r="73" spans="4:7" x14ac:dyDescent="0.3">
      <c r="D73" s="269" t="str">
        <f>IF(AND('General Information'!$H$405=TRUE, 'General Information'!D477&lt;&gt;"", 'General Information'!E477&lt;&gt;"", 'General Information'!F477&lt;&gt;"", 'General Information'!G477&lt;&gt;""), _xlfn.WEBSERVICE("https://nominatim.openstreetmap.org/search?q=" &amp; 'General Information'!K477 &amp; "&amp;format=json&amp;polygon=1&amp;addressdetails=1"), "")</f>
        <v/>
      </c>
      <c r="E73" s="270" t="e">
        <f t="shared" si="0"/>
        <v>#VALUE!</v>
      </c>
      <c r="F73" s="270" t="e">
        <f t="shared" si="1"/>
        <v>#VALUE!</v>
      </c>
      <c r="G73" t="e">
        <f t="shared" si="2"/>
        <v>#VALUE!</v>
      </c>
    </row>
    <row r="74" spans="4:7" x14ac:dyDescent="0.3">
      <c r="D74" s="269" t="str">
        <f>IF(AND('General Information'!$H$405=TRUE, 'General Information'!D478&lt;&gt;"", 'General Information'!E478&lt;&gt;"", 'General Information'!F478&lt;&gt;"", 'General Information'!G478&lt;&gt;""), _xlfn.WEBSERVICE("https://nominatim.openstreetmap.org/search?q=" &amp; 'General Information'!K478 &amp; "&amp;format=json&amp;polygon=1&amp;addressdetails=1"), "")</f>
        <v/>
      </c>
      <c r="E74" s="270" t="e">
        <f t="shared" si="0"/>
        <v>#VALUE!</v>
      </c>
      <c r="F74" s="270" t="e">
        <f t="shared" si="1"/>
        <v>#VALUE!</v>
      </c>
      <c r="G74" t="e">
        <f t="shared" si="2"/>
        <v>#VALUE!</v>
      </c>
    </row>
    <row r="75" spans="4:7" x14ac:dyDescent="0.3">
      <c r="D75" s="269" t="str">
        <f>IF(AND('General Information'!$H$405=TRUE, 'General Information'!D479&lt;&gt;"", 'General Information'!E479&lt;&gt;"", 'General Information'!F479&lt;&gt;"", 'General Information'!G479&lt;&gt;""), _xlfn.WEBSERVICE("https://nominatim.openstreetmap.org/search?q=" &amp; 'General Information'!K479 &amp; "&amp;format=json&amp;polygon=1&amp;addressdetails=1"), "")</f>
        <v/>
      </c>
      <c r="E75" s="270" t="e">
        <f t="shared" si="0"/>
        <v>#VALUE!</v>
      </c>
      <c r="F75" s="270" t="e">
        <f t="shared" si="1"/>
        <v>#VALUE!</v>
      </c>
      <c r="G75" t="e">
        <f t="shared" si="2"/>
        <v>#VALUE!</v>
      </c>
    </row>
    <row r="76" spans="4:7" x14ac:dyDescent="0.3">
      <c r="D76" s="269" t="str">
        <f>IF(AND('General Information'!$H$405=TRUE, 'General Information'!D480&lt;&gt;"", 'General Information'!E480&lt;&gt;"", 'General Information'!F480&lt;&gt;"", 'General Information'!G480&lt;&gt;""), _xlfn.WEBSERVICE("https://nominatim.openstreetmap.org/search?q=" &amp; 'General Information'!K480 &amp; "&amp;format=json&amp;polygon=1&amp;addressdetails=1"), "")</f>
        <v/>
      </c>
      <c r="E76" s="270" t="e">
        <f t="shared" si="0"/>
        <v>#VALUE!</v>
      </c>
      <c r="F76" s="270" t="e">
        <f t="shared" si="1"/>
        <v>#VALUE!</v>
      </c>
      <c r="G76" t="e">
        <f t="shared" si="2"/>
        <v>#VALUE!</v>
      </c>
    </row>
    <row r="77" spans="4:7" x14ac:dyDescent="0.3">
      <c r="D77" s="269" t="str">
        <f>IF(AND('General Information'!$H$405=TRUE, 'General Information'!D481&lt;&gt;"", 'General Information'!E481&lt;&gt;"", 'General Information'!F481&lt;&gt;"", 'General Information'!G481&lt;&gt;""), _xlfn.WEBSERVICE("https://nominatim.openstreetmap.org/search?q=" &amp; 'General Information'!K481 &amp; "&amp;format=json&amp;polygon=1&amp;addressdetails=1"), "")</f>
        <v/>
      </c>
      <c r="E77" s="270" t="e">
        <f t="shared" si="0"/>
        <v>#VALUE!</v>
      </c>
      <c r="F77" s="270" t="e">
        <f t="shared" si="1"/>
        <v>#VALUE!</v>
      </c>
      <c r="G77" t="e">
        <f t="shared" si="2"/>
        <v>#VALUE!</v>
      </c>
    </row>
    <row r="78" spans="4:7" x14ac:dyDescent="0.3">
      <c r="D78" s="269" t="str">
        <f>IF(AND('General Information'!$H$405=TRUE, 'General Information'!D482&lt;&gt;"", 'General Information'!E482&lt;&gt;"", 'General Information'!F482&lt;&gt;"", 'General Information'!G482&lt;&gt;""), _xlfn.WEBSERVICE("https://nominatim.openstreetmap.org/search?q=" &amp; 'General Information'!K482 &amp; "&amp;format=json&amp;polygon=1&amp;addressdetails=1"), "")</f>
        <v/>
      </c>
      <c r="E78" s="270" t="e">
        <f t="shared" si="0"/>
        <v>#VALUE!</v>
      </c>
      <c r="F78" s="270" t="e">
        <f t="shared" si="1"/>
        <v>#VALUE!</v>
      </c>
      <c r="G78" t="e">
        <f t="shared" si="2"/>
        <v>#VALUE!</v>
      </c>
    </row>
    <row r="79" spans="4:7" x14ac:dyDescent="0.3">
      <c r="D79" s="269" t="str">
        <f>IF(AND('General Information'!$H$405=TRUE, 'General Information'!D483&lt;&gt;"", 'General Information'!E483&lt;&gt;"", 'General Information'!F483&lt;&gt;"", 'General Information'!G483&lt;&gt;""), _xlfn.WEBSERVICE("https://nominatim.openstreetmap.org/search?q=" &amp; 'General Information'!K483 &amp; "&amp;format=json&amp;polygon=1&amp;addressdetails=1"), "")</f>
        <v/>
      </c>
      <c r="E79" s="270" t="e">
        <f t="shared" si="0"/>
        <v>#VALUE!</v>
      </c>
      <c r="F79" s="270" t="e">
        <f t="shared" si="1"/>
        <v>#VALUE!</v>
      </c>
      <c r="G79" t="e">
        <f t="shared" si="2"/>
        <v>#VALUE!</v>
      </c>
    </row>
    <row r="80" spans="4:7" x14ac:dyDescent="0.3">
      <c r="D80" s="269" t="str">
        <f>IF(AND('General Information'!$H$405=TRUE, 'General Information'!D484&lt;&gt;"", 'General Information'!E484&lt;&gt;"", 'General Information'!F484&lt;&gt;"", 'General Information'!G484&lt;&gt;""), _xlfn.WEBSERVICE("https://nominatim.openstreetmap.org/search?q=" &amp; 'General Information'!K484 &amp; "&amp;format=json&amp;polygon=1&amp;addressdetails=1"), "")</f>
        <v/>
      </c>
      <c r="E80" s="270" t="e">
        <f t="shared" si="0"/>
        <v>#VALUE!</v>
      </c>
      <c r="F80" s="270" t="e">
        <f t="shared" si="1"/>
        <v>#VALUE!</v>
      </c>
      <c r="G80" t="e">
        <f t="shared" si="2"/>
        <v>#VALUE!</v>
      </c>
    </row>
    <row r="81" spans="4:7" x14ac:dyDescent="0.3">
      <c r="D81" s="269" t="str">
        <f>IF(AND('General Information'!$H$405=TRUE, 'General Information'!D485&lt;&gt;"", 'General Information'!E485&lt;&gt;"", 'General Information'!F485&lt;&gt;"", 'General Information'!G485&lt;&gt;""), _xlfn.WEBSERVICE("https://nominatim.openstreetmap.org/search?q=" &amp; 'General Information'!K485 &amp; "&amp;format=json&amp;polygon=1&amp;addressdetails=1"), "")</f>
        <v/>
      </c>
      <c r="E81" s="270" t="e">
        <f t="shared" si="0"/>
        <v>#VALUE!</v>
      </c>
      <c r="F81" s="270" t="e">
        <f t="shared" si="1"/>
        <v>#VALUE!</v>
      </c>
      <c r="G81" t="e">
        <f t="shared" si="2"/>
        <v>#VALUE!</v>
      </c>
    </row>
    <row r="82" spans="4:7" x14ac:dyDescent="0.3">
      <c r="D82" s="269" t="str">
        <f>IF(AND('General Information'!$H$405=TRUE, 'General Information'!D486&lt;&gt;"", 'General Information'!E486&lt;&gt;"", 'General Information'!F486&lt;&gt;"", 'General Information'!G486&lt;&gt;""), _xlfn.WEBSERVICE("https://nominatim.openstreetmap.org/search?q=" &amp; 'General Information'!K486 &amp; "&amp;format=json&amp;polygon=1&amp;addressdetails=1"), "")</f>
        <v/>
      </c>
      <c r="E82" s="270" t="e">
        <f t="shared" si="0"/>
        <v>#VALUE!</v>
      </c>
      <c r="F82" s="270" t="e">
        <f t="shared" si="1"/>
        <v>#VALUE!</v>
      </c>
      <c r="G82" t="e">
        <f t="shared" si="2"/>
        <v>#VALUE!</v>
      </c>
    </row>
    <row r="83" spans="4:7" x14ac:dyDescent="0.3">
      <c r="D83" s="269" t="str">
        <f>IF(AND('General Information'!$H$405=TRUE, 'General Information'!D487&lt;&gt;"", 'General Information'!E487&lt;&gt;"", 'General Information'!F487&lt;&gt;"", 'General Information'!G487&lt;&gt;""), _xlfn.WEBSERVICE("https://nominatim.openstreetmap.org/search?q=" &amp; 'General Information'!K487 &amp; "&amp;format=json&amp;polygon=1&amp;addressdetails=1"), "")</f>
        <v/>
      </c>
      <c r="E83" s="270" t="e">
        <f t="shared" si="0"/>
        <v>#VALUE!</v>
      </c>
      <c r="F83" s="270" t="e">
        <f t="shared" si="1"/>
        <v>#VALUE!</v>
      </c>
      <c r="G83" t="e">
        <f t="shared" si="2"/>
        <v>#VALUE!</v>
      </c>
    </row>
    <row r="84" spans="4:7" x14ac:dyDescent="0.3">
      <c r="D84" s="269" t="str">
        <f>IF(AND('General Information'!$H$405=TRUE, 'General Information'!D488&lt;&gt;"", 'General Information'!E488&lt;&gt;"", 'General Information'!F488&lt;&gt;"", 'General Information'!G488&lt;&gt;""), _xlfn.WEBSERVICE("https://nominatim.openstreetmap.org/search?q=" &amp; 'General Information'!K488 &amp; "&amp;format=json&amp;polygon=1&amp;addressdetails=1"), "")</f>
        <v/>
      </c>
      <c r="E84" s="270" t="e">
        <f t="shared" si="0"/>
        <v>#VALUE!</v>
      </c>
      <c r="F84" s="270" t="e">
        <f t="shared" si="1"/>
        <v>#VALUE!</v>
      </c>
      <c r="G84" t="e">
        <f t="shared" si="2"/>
        <v>#VALUE!</v>
      </c>
    </row>
    <row r="85" spans="4:7" x14ac:dyDescent="0.3">
      <c r="D85" s="269" t="str">
        <f>IF(AND('General Information'!$H$405=TRUE, 'General Information'!D489&lt;&gt;"", 'General Information'!E489&lt;&gt;"", 'General Information'!F489&lt;&gt;"", 'General Information'!G489&lt;&gt;""), _xlfn.WEBSERVICE("https://nominatim.openstreetmap.org/search?q=" &amp; 'General Information'!K489 &amp; "&amp;format=json&amp;polygon=1&amp;addressdetails=1"), "")</f>
        <v/>
      </c>
      <c r="E85" s="270" t="e">
        <f t="shared" si="0"/>
        <v>#VALUE!</v>
      </c>
      <c r="F85" s="270" t="e">
        <f t="shared" si="1"/>
        <v>#VALUE!</v>
      </c>
      <c r="G85" t="e">
        <f t="shared" si="2"/>
        <v>#VALUE!</v>
      </c>
    </row>
    <row r="86" spans="4:7" x14ac:dyDescent="0.3">
      <c r="D86" s="269" t="str">
        <f>IF(AND('General Information'!$H$405=TRUE, 'General Information'!D490&lt;&gt;"", 'General Information'!E490&lt;&gt;"", 'General Information'!F490&lt;&gt;"", 'General Information'!G490&lt;&gt;""), _xlfn.WEBSERVICE("https://nominatim.openstreetmap.org/search?q=" &amp; 'General Information'!K490 &amp; "&amp;format=json&amp;polygon=1&amp;addressdetails=1"), "")</f>
        <v/>
      </c>
      <c r="E86" s="270" t="e">
        <f t="shared" si="0"/>
        <v>#VALUE!</v>
      </c>
      <c r="F86" s="270" t="e">
        <f t="shared" si="1"/>
        <v>#VALUE!</v>
      </c>
      <c r="G86" t="e">
        <f t="shared" si="2"/>
        <v>#VALUE!</v>
      </c>
    </row>
    <row r="87" spans="4:7" x14ac:dyDescent="0.3">
      <c r="D87" s="269" t="str">
        <f>IF(AND('General Information'!$H$405=TRUE, 'General Information'!D491&lt;&gt;"", 'General Information'!E491&lt;&gt;"", 'General Information'!F491&lt;&gt;"", 'General Information'!G491&lt;&gt;""), _xlfn.WEBSERVICE("https://nominatim.openstreetmap.org/search?q=" &amp; 'General Information'!K491 &amp; "&amp;format=json&amp;polygon=1&amp;addressdetails=1"), "")</f>
        <v/>
      </c>
      <c r="E87" s="270" t="e">
        <f t="shared" si="0"/>
        <v>#VALUE!</v>
      </c>
      <c r="F87" s="270" t="e">
        <f t="shared" si="1"/>
        <v>#VALUE!</v>
      </c>
      <c r="G87" t="e">
        <f t="shared" si="2"/>
        <v>#VALUE!</v>
      </c>
    </row>
    <row r="88" spans="4:7" x14ac:dyDescent="0.3">
      <c r="D88" s="269" t="str">
        <f>IF(AND('General Information'!$H$405=TRUE, 'General Information'!D492&lt;&gt;"", 'General Information'!E492&lt;&gt;"", 'General Information'!F492&lt;&gt;"", 'General Information'!G492&lt;&gt;""), _xlfn.WEBSERVICE("https://nominatim.openstreetmap.org/search?q=" &amp; 'General Information'!K492 &amp; "&amp;format=json&amp;polygon=1&amp;addressdetails=1"), "")</f>
        <v/>
      </c>
      <c r="E88" s="270" t="e">
        <f t="shared" si="0"/>
        <v>#VALUE!</v>
      </c>
      <c r="F88" s="270" t="e">
        <f t="shared" si="1"/>
        <v>#VALUE!</v>
      </c>
      <c r="G88" t="e">
        <f t="shared" si="2"/>
        <v>#VALUE!</v>
      </c>
    </row>
    <row r="89" spans="4:7" x14ac:dyDescent="0.3">
      <c r="D89" s="269" t="str">
        <f>IF(AND('General Information'!$H$405=TRUE, 'General Information'!D493&lt;&gt;"", 'General Information'!E493&lt;&gt;"", 'General Information'!F493&lt;&gt;"", 'General Information'!G493&lt;&gt;""), _xlfn.WEBSERVICE("https://nominatim.openstreetmap.org/search?q=" &amp; 'General Information'!K493 &amp; "&amp;format=json&amp;polygon=1&amp;addressdetails=1"), "")</f>
        <v/>
      </c>
      <c r="E89" s="270" t="e">
        <f t="shared" si="0"/>
        <v>#VALUE!</v>
      </c>
      <c r="F89" s="270" t="e">
        <f t="shared" si="1"/>
        <v>#VALUE!</v>
      </c>
      <c r="G89" t="e">
        <f t="shared" si="2"/>
        <v>#VALUE!</v>
      </c>
    </row>
    <row r="90" spans="4:7" x14ac:dyDescent="0.3">
      <c r="D90" s="269" t="str">
        <f>IF(AND('General Information'!$H$405=TRUE, 'General Information'!D494&lt;&gt;"", 'General Information'!E494&lt;&gt;"", 'General Information'!F494&lt;&gt;"", 'General Information'!G494&lt;&gt;""), _xlfn.WEBSERVICE("https://nominatim.openstreetmap.org/search?q=" &amp; 'General Information'!K494 &amp; "&amp;format=json&amp;polygon=1&amp;addressdetails=1"), "")</f>
        <v/>
      </c>
      <c r="E90" s="270" t="e">
        <f t="shared" si="0"/>
        <v>#VALUE!</v>
      </c>
      <c r="F90" s="270" t="e">
        <f t="shared" si="1"/>
        <v>#VALUE!</v>
      </c>
      <c r="G90" t="e">
        <f t="shared" si="2"/>
        <v>#VALUE!</v>
      </c>
    </row>
    <row r="91" spans="4:7" x14ac:dyDescent="0.3">
      <c r="D91" s="269" t="str">
        <f>IF(AND('General Information'!$H$405=TRUE, 'General Information'!D495&lt;&gt;"", 'General Information'!E495&lt;&gt;"", 'General Information'!F495&lt;&gt;"", 'General Information'!G495&lt;&gt;""), _xlfn.WEBSERVICE("https://nominatim.openstreetmap.org/search?q=" &amp; 'General Information'!K495 &amp; "&amp;format=json&amp;polygon=1&amp;addressdetails=1"), "")</f>
        <v/>
      </c>
      <c r="E91" s="270" t="e">
        <f t="shared" si="0"/>
        <v>#VALUE!</v>
      </c>
      <c r="F91" s="270" t="e">
        <f t="shared" si="1"/>
        <v>#VALUE!</v>
      </c>
      <c r="G91" t="e">
        <f t="shared" si="2"/>
        <v>#VALUE!</v>
      </c>
    </row>
    <row r="92" spans="4:7" x14ac:dyDescent="0.3">
      <c r="D92" s="269" t="str">
        <f>IF(AND('General Information'!$H$405=TRUE, 'General Information'!D496&lt;&gt;"", 'General Information'!E496&lt;&gt;"", 'General Information'!F496&lt;&gt;"", 'General Information'!G496&lt;&gt;""), _xlfn.WEBSERVICE("https://nominatim.openstreetmap.org/search?q=" &amp; 'General Information'!K496 &amp; "&amp;format=json&amp;polygon=1&amp;addressdetails=1"), "")</f>
        <v/>
      </c>
      <c r="E92" s="270" t="e">
        <f t="shared" si="0"/>
        <v>#VALUE!</v>
      </c>
      <c r="F92" s="270" t="e">
        <f t="shared" si="1"/>
        <v>#VALUE!</v>
      </c>
      <c r="G92" t="e">
        <f t="shared" si="2"/>
        <v>#VALUE!</v>
      </c>
    </row>
    <row r="93" spans="4:7" x14ac:dyDescent="0.3">
      <c r="D93" s="269" t="str">
        <f>IF(AND('General Information'!$H$405=TRUE, 'General Information'!D497&lt;&gt;"", 'General Information'!E497&lt;&gt;"", 'General Information'!F497&lt;&gt;"", 'General Information'!G497&lt;&gt;""), _xlfn.WEBSERVICE("https://nominatim.openstreetmap.org/search?q=" &amp; 'General Information'!K497 &amp; "&amp;format=json&amp;polygon=1&amp;addressdetails=1"), "")</f>
        <v/>
      </c>
      <c r="E93" s="270" t="e">
        <f t="shared" si="0"/>
        <v>#VALUE!</v>
      </c>
      <c r="F93" s="270" t="e">
        <f t="shared" si="1"/>
        <v>#VALUE!</v>
      </c>
      <c r="G93" t="e">
        <f t="shared" si="2"/>
        <v>#VALUE!</v>
      </c>
    </row>
    <row r="94" spans="4:7" x14ac:dyDescent="0.3">
      <c r="D94" s="269" t="str">
        <f>IF(AND('General Information'!$H$405=TRUE, 'General Information'!D498&lt;&gt;"", 'General Information'!E498&lt;&gt;"", 'General Information'!F498&lt;&gt;"", 'General Information'!G498&lt;&gt;""), _xlfn.WEBSERVICE("https://nominatim.openstreetmap.org/search?q=" &amp; 'General Information'!K498 &amp; "&amp;format=json&amp;polygon=1&amp;addressdetails=1"), "")</f>
        <v/>
      </c>
      <c r="E94" s="270" t="e">
        <f t="shared" si="0"/>
        <v>#VALUE!</v>
      </c>
      <c r="F94" s="270" t="e">
        <f t="shared" si="1"/>
        <v>#VALUE!</v>
      </c>
      <c r="G94" t="e">
        <f t="shared" si="2"/>
        <v>#VALUE!</v>
      </c>
    </row>
    <row r="95" spans="4:7" x14ac:dyDescent="0.3">
      <c r="D95" s="269" t="str">
        <f>IF(AND('General Information'!$H$405=TRUE, 'General Information'!D499&lt;&gt;"", 'General Information'!E499&lt;&gt;"", 'General Information'!F499&lt;&gt;"", 'General Information'!G499&lt;&gt;""), _xlfn.WEBSERVICE("https://nominatim.openstreetmap.org/search?q=" &amp; 'General Information'!K499 &amp; "&amp;format=json&amp;polygon=1&amp;addressdetails=1"), "")</f>
        <v/>
      </c>
      <c r="E95" s="270" t="e">
        <f t="shared" si="0"/>
        <v>#VALUE!</v>
      </c>
      <c r="F95" s="270" t="e">
        <f t="shared" si="1"/>
        <v>#VALUE!</v>
      </c>
      <c r="G95" t="e">
        <f t="shared" si="2"/>
        <v>#VALUE!</v>
      </c>
    </row>
    <row r="96" spans="4:7" x14ac:dyDescent="0.3">
      <c r="D96" s="269" t="str">
        <f>IF(AND('General Information'!$H$405=TRUE, 'General Information'!D500&lt;&gt;"", 'General Information'!E500&lt;&gt;"", 'General Information'!F500&lt;&gt;"", 'General Information'!G500&lt;&gt;""), _xlfn.WEBSERVICE("https://nominatim.openstreetmap.org/search?q=" &amp; 'General Information'!K500 &amp; "&amp;format=json&amp;polygon=1&amp;addressdetails=1"), "")</f>
        <v/>
      </c>
      <c r="E96" s="270" t="e">
        <f t="shared" si="0"/>
        <v>#VALUE!</v>
      </c>
      <c r="F96" s="270" t="e">
        <f t="shared" si="1"/>
        <v>#VALUE!</v>
      </c>
      <c r="G96" t="e">
        <f t="shared" si="2"/>
        <v>#VALUE!</v>
      </c>
    </row>
    <row r="97" spans="4:7" x14ac:dyDescent="0.3">
      <c r="D97" s="269" t="str">
        <f>IF(AND('General Information'!$H$405=TRUE, 'General Information'!D501&lt;&gt;"", 'General Information'!E501&lt;&gt;"", 'General Information'!F501&lt;&gt;"", 'General Information'!G501&lt;&gt;""), _xlfn.WEBSERVICE("https://nominatim.openstreetmap.org/search?q=" &amp; 'General Information'!K501 &amp; "&amp;format=json&amp;polygon=1&amp;addressdetails=1"), "")</f>
        <v/>
      </c>
      <c r="E97" s="270" t="e">
        <f t="shared" si="0"/>
        <v>#VALUE!</v>
      </c>
      <c r="F97" s="270" t="e">
        <f t="shared" si="1"/>
        <v>#VALUE!</v>
      </c>
      <c r="G97" t="e">
        <f t="shared" si="2"/>
        <v>#VALUE!</v>
      </c>
    </row>
    <row r="98" spans="4:7" x14ac:dyDescent="0.3">
      <c r="D98" s="269" t="str">
        <f>IF(AND('General Information'!$H$405=TRUE, 'General Information'!D502&lt;&gt;"", 'General Information'!E502&lt;&gt;"", 'General Information'!F502&lt;&gt;"", 'General Information'!G502&lt;&gt;""), _xlfn.WEBSERVICE("https://nominatim.openstreetmap.org/search?q=" &amp; 'General Information'!K502 &amp; "&amp;format=json&amp;polygon=1&amp;addressdetails=1"), "")</f>
        <v/>
      </c>
      <c r="E98" s="270" t="e">
        <f t="shared" si="0"/>
        <v>#VALUE!</v>
      </c>
      <c r="F98" s="270" t="e">
        <f t="shared" si="1"/>
        <v>#VALUE!</v>
      </c>
      <c r="G98" t="e">
        <f t="shared" si="2"/>
        <v>#VALUE!</v>
      </c>
    </row>
    <row r="99" spans="4:7" x14ac:dyDescent="0.3">
      <c r="D99" s="269" t="str">
        <f>IF(AND('General Information'!$H$405=TRUE, 'General Information'!D503&lt;&gt;"", 'General Information'!E503&lt;&gt;"", 'General Information'!F503&lt;&gt;"", 'General Information'!G503&lt;&gt;""), _xlfn.WEBSERVICE("https://nominatim.openstreetmap.org/search?q=" &amp; 'General Information'!K503 &amp; "&amp;format=json&amp;polygon=1&amp;addressdetails=1"), "")</f>
        <v/>
      </c>
      <c r="E99" s="270" t="e">
        <f t="shared" si="0"/>
        <v>#VALUE!</v>
      </c>
      <c r="F99" s="270" t="e">
        <f t="shared" si="1"/>
        <v>#VALUE!</v>
      </c>
      <c r="G99" t="e">
        <f t="shared" si="2"/>
        <v>#VALUE!</v>
      </c>
    </row>
    <row r="100" spans="4:7" x14ac:dyDescent="0.3">
      <c r="D100" s="269" t="str">
        <f>IF(AND('General Information'!$H$405=TRUE, 'General Information'!D504&lt;&gt;"", 'General Information'!E504&lt;&gt;"", 'General Information'!F504&lt;&gt;"", 'General Information'!G504&lt;&gt;""), _xlfn.WEBSERVICE("https://nominatim.openstreetmap.org/search?q=" &amp; 'General Information'!K504 &amp; "&amp;format=json&amp;polygon=1&amp;addressdetails=1"), "")</f>
        <v/>
      </c>
      <c r="E100" s="270" t="e">
        <f t="shared" si="0"/>
        <v>#VALUE!</v>
      </c>
      <c r="F100" s="270" t="e">
        <f t="shared" si="1"/>
        <v>#VALUE!</v>
      </c>
      <c r="G100" t="e">
        <f t="shared" si="2"/>
        <v>#VALUE!</v>
      </c>
    </row>
    <row r="101" spans="4:7" x14ac:dyDescent="0.3">
      <c r="D101" s="269" t="str">
        <f>IF(AND('General Information'!$H$405=TRUE, 'General Information'!D505&lt;&gt;"", 'General Information'!E505&lt;&gt;"", 'General Information'!F505&lt;&gt;"", 'General Information'!G505&lt;&gt;""), _xlfn.WEBSERVICE("https://nominatim.openstreetmap.org/search?q=" &amp; 'General Information'!K505 &amp; "&amp;format=json&amp;polygon=1&amp;addressdetails=1"), "")</f>
        <v/>
      </c>
      <c r="E101" s="270" t="e">
        <f t="shared" si="0"/>
        <v>#VALUE!</v>
      </c>
      <c r="F101" s="270" t="e">
        <f t="shared" si="1"/>
        <v>#VALUE!</v>
      </c>
      <c r="G101" t="e">
        <f t="shared" si="2"/>
        <v>#VALUE!</v>
      </c>
    </row>
    <row r="102" spans="4:7" x14ac:dyDescent="0.3">
      <c r="D102" s="269" t="str">
        <f>IF(AND('General Information'!$H$405=TRUE, 'General Information'!D506&lt;&gt;"", 'General Information'!E506&lt;&gt;"", 'General Information'!F506&lt;&gt;"", 'General Information'!G506&lt;&gt;""), _xlfn.WEBSERVICE("https://nominatim.openstreetmap.org/search?q=" &amp; 'General Information'!K506 &amp; "&amp;format=json&amp;polygon=1&amp;addressdetails=1"), "")</f>
        <v/>
      </c>
      <c r="E102" s="270" t="e">
        <f t="shared" si="0"/>
        <v>#VALUE!</v>
      </c>
      <c r="F102" s="270" t="e">
        <f t="shared" si="1"/>
        <v>#VALUE!</v>
      </c>
      <c r="G102" t="e">
        <f t="shared" si="2"/>
        <v>#VALUE!</v>
      </c>
    </row>
    <row r="103" spans="4:7" x14ac:dyDescent="0.3">
      <c r="D103" s="269" t="str">
        <f>IF(AND('General Information'!$H$405=TRUE, 'General Information'!D507&lt;&gt;"", 'General Information'!E507&lt;&gt;"", 'General Information'!F507&lt;&gt;"", 'General Information'!G507&lt;&gt;""), _xlfn.WEBSERVICE("https://nominatim.openstreetmap.org/search?q=" &amp; 'General Information'!K507 &amp; "&amp;format=json&amp;polygon=1&amp;addressdetails=1"), "")</f>
        <v/>
      </c>
      <c r="E103" s="270" t="e">
        <f t="shared" si="0"/>
        <v>#VALUE!</v>
      </c>
      <c r="F103" s="270" t="e">
        <f t="shared" si="1"/>
        <v>#VALUE!</v>
      </c>
      <c r="G103" t="e">
        <f t="shared" si="2"/>
        <v>#VALUE!</v>
      </c>
    </row>
    <row r="104" spans="4:7" x14ac:dyDescent="0.3">
      <c r="D104" s="269" t="str">
        <f>IF(AND('General Information'!$H$405=TRUE, 'General Information'!D508&lt;&gt;"", 'General Information'!E508&lt;&gt;"", 'General Information'!F508&lt;&gt;"", 'General Information'!G508&lt;&gt;""), _xlfn.WEBSERVICE("https://nominatim.openstreetmap.org/search?q=" &amp; 'General Information'!K508 &amp; "&amp;format=json&amp;polygon=1&amp;addressdetails=1"), "")</f>
        <v/>
      </c>
      <c r="E104" s="270" t="e">
        <f t="shared" si="0"/>
        <v>#VALUE!</v>
      </c>
      <c r="F104" s="270" t="e">
        <f t="shared" si="1"/>
        <v>#VALUE!</v>
      </c>
      <c r="G104" t="e">
        <f t="shared" si="2"/>
        <v>#VALUE!</v>
      </c>
    </row>
    <row r="105" spans="4:7" x14ac:dyDescent="0.3">
      <c r="D105" s="269" t="str">
        <f>IF(AND('General Information'!$H$405=TRUE, 'General Information'!D509&lt;&gt;"", 'General Information'!E509&lt;&gt;"", 'General Information'!F509&lt;&gt;"", 'General Information'!G509&lt;&gt;""), _xlfn.WEBSERVICE("https://nominatim.openstreetmap.org/search?q=" &amp; 'General Information'!K509 &amp; "&amp;format=json&amp;polygon=1&amp;addressdetails=1"), "")</f>
        <v/>
      </c>
      <c r="E105" s="270" t="e">
        <f t="shared" si="0"/>
        <v>#VALUE!</v>
      </c>
      <c r="F105" s="270" t="e">
        <f t="shared" si="1"/>
        <v>#VALUE!</v>
      </c>
      <c r="G105" t="e">
        <f t="shared" si="2"/>
        <v>#VALUE!</v>
      </c>
    </row>
    <row r="106" spans="4:7" x14ac:dyDescent="0.3">
      <c r="D106" s="269" t="str">
        <f>IF(AND('General Information'!$H$405=TRUE, 'General Information'!D510&lt;&gt;"", 'General Information'!E510&lt;&gt;"", 'General Information'!F510&lt;&gt;"", 'General Information'!G510&lt;&gt;""), _xlfn.WEBSERVICE("https://nominatim.openstreetmap.org/search?q=" &amp; 'General Information'!K510 &amp; "&amp;format=json&amp;polygon=1&amp;addressdetails=1"), "")</f>
        <v/>
      </c>
      <c r="E106" s="270" t="e">
        <f t="shared" si="0"/>
        <v>#VALUE!</v>
      </c>
      <c r="F106" s="270" t="e">
        <f t="shared" si="1"/>
        <v>#VALUE!</v>
      </c>
      <c r="G106" t="e">
        <f t="shared" si="2"/>
        <v>#VALUE!</v>
      </c>
    </row>
    <row r="107" spans="4:7" x14ac:dyDescent="0.3">
      <c r="D107" s="269" t="str">
        <f>IF(AND('General Information'!$H$405=TRUE, 'General Information'!D511&lt;&gt;"", 'General Information'!E511&lt;&gt;"", 'General Information'!F511&lt;&gt;"", 'General Information'!G511&lt;&gt;""), _xlfn.WEBSERVICE("https://nominatim.openstreetmap.org/search?q=" &amp; 'General Information'!K511 &amp; "&amp;format=json&amp;polygon=1&amp;addressdetails=1"), "")</f>
        <v/>
      </c>
      <c r="E107" s="270" t="e">
        <f t="shared" si="0"/>
        <v>#VALUE!</v>
      </c>
      <c r="F107" s="270" t="e">
        <f t="shared" si="1"/>
        <v>#VALUE!</v>
      </c>
      <c r="G107" t="e">
        <f t="shared" si="2"/>
        <v>#VALUE!</v>
      </c>
    </row>
    <row r="108" spans="4:7" x14ac:dyDescent="0.3">
      <c r="D108" s="269" t="str">
        <f>IF(AND('General Information'!$H$405=TRUE, 'General Information'!D512&lt;&gt;"", 'General Information'!E512&lt;&gt;"", 'General Information'!F512&lt;&gt;"", 'General Information'!G512&lt;&gt;""), _xlfn.WEBSERVICE("https://nominatim.openstreetmap.org/search?q=" &amp; 'General Information'!K512 &amp; "&amp;format=json&amp;polygon=1&amp;addressdetails=1"), "")</f>
        <v/>
      </c>
      <c r="E108" s="270" t="e">
        <f t="shared" si="0"/>
        <v>#VALUE!</v>
      </c>
      <c r="F108" s="270" t="e">
        <f t="shared" si="1"/>
        <v>#VALUE!</v>
      </c>
      <c r="G108" t="e">
        <f t="shared" si="2"/>
        <v>#VALUE!</v>
      </c>
    </row>
    <row r="109" spans="4:7" x14ac:dyDescent="0.3">
      <c r="D109" s="269" t="str">
        <f>IF(AND('General Information'!$H$405=TRUE, 'General Information'!D513&lt;&gt;"", 'General Information'!E513&lt;&gt;"", 'General Information'!F513&lt;&gt;"", 'General Information'!G513&lt;&gt;""), _xlfn.WEBSERVICE("https://nominatim.openstreetmap.org/search?q=" &amp; 'General Information'!K513 &amp; "&amp;format=json&amp;polygon=1&amp;addressdetails=1"), "")</f>
        <v/>
      </c>
      <c r="E109" s="270" t="e">
        <f t="shared" si="0"/>
        <v>#VALUE!</v>
      </c>
      <c r="F109" s="270" t="e">
        <f t="shared" si="1"/>
        <v>#VALUE!</v>
      </c>
      <c r="G109" t="e">
        <f t="shared" si="2"/>
        <v>#VALUE!</v>
      </c>
    </row>
    <row r="110" spans="4:7" x14ac:dyDescent="0.3">
      <c r="D110" s="269" t="str">
        <f>IF(AND('General Information'!$H$405=TRUE, 'General Information'!D514&lt;&gt;"", 'General Information'!E514&lt;&gt;"", 'General Information'!F514&lt;&gt;"", 'General Information'!G514&lt;&gt;""), _xlfn.WEBSERVICE("https://nominatim.openstreetmap.org/search?q=" &amp; 'General Information'!K514 &amp; "&amp;format=json&amp;polygon=1&amp;addressdetails=1"), "")</f>
        <v/>
      </c>
      <c r="E110" s="270" t="e">
        <f t="shared" si="0"/>
        <v>#VALUE!</v>
      </c>
      <c r="F110" s="270" t="e">
        <f t="shared" si="1"/>
        <v>#VALUE!</v>
      </c>
      <c r="G110" t="e">
        <f t="shared" si="2"/>
        <v>#VALUE!</v>
      </c>
    </row>
    <row r="111" spans="4:7" x14ac:dyDescent="0.3">
      <c r="D111" s="269" t="str">
        <f>IF(AND('General Information'!$H$405=TRUE, 'General Information'!D515&lt;&gt;"", 'General Information'!E515&lt;&gt;"", 'General Information'!F515&lt;&gt;"", 'General Information'!G515&lt;&gt;""), _xlfn.WEBSERVICE("https://nominatim.openstreetmap.org/search?q=" &amp; 'General Information'!K515 &amp; "&amp;format=json&amp;polygon=1&amp;addressdetails=1"), "")</f>
        <v/>
      </c>
      <c r="E111" s="270" t="e">
        <f t="shared" si="0"/>
        <v>#VALUE!</v>
      </c>
      <c r="F111" s="270" t="e">
        <f t="shared" si="1"/>
        <v>#VALUE!</v>
      </c>
      <c r="G111" t="e">
        <f t="shared" si="2"/>
        <v>#VALUE!</v>
      </c>
    </row>
    <row r="112" spans="4:7" x14ac:dyDescent="0.3">
      <c r="D112" s="269" t="str">
        <f>IF(AND('General Information'!$H$405=TRUE, 'General Information'!D516&lt;&gt;"", 'General Information'!E516&lt;&gt;"", 'General Information'!F516&lt;&gt;"", 'General Information'!G516&lt;&gt;""), _xlfn.WEBSERVICE("https://nominatim.openstreetmap.org/search?q=" &amp; 'General Information'!K516 &amp; "&amp;format=json&amp;polygon=1&amp;addressdetails=1"), "")</f>
        <v/>
      </c>
      <c r="E112" s="270" t="e">
        <f t="shared" si="0"/>
        <v>#VALUE!</v>
      </c>
      <c r="F112" s="270" t="e">
        <f t="shared" si="1"/>
        <v>#VALUE!</v>
      </c>
      <c r="G112" t="e">
        <f t="shared" si="2"/>
        <v>#VALUE!</v>
      </c>
    </row>
    <row r="113" spans="1:7" x14ac:dyDescent="0.3">
      <c r="D113" s="269" t="str">
        <f>IF(AND('General Information'!$H$405=TRUE, 'General Information'!D517&lt;&gt;"", 'General Information'!E517&lt;&gt;"", 'General Information'!F517&lt;&gt;"", 'General Information'!G517&lt;&gt;""), _xlfn.WEBSERVICE("https://nominatim.openstreetmap.org/search?q=" &amp; 'General Information'!K517 &amp; "&amp;format=json&amp;polygon=1&amp;addressdetails=1"), "")</f>
        <v/>
      </c>
      <c r="E113" s="270" t="e">
        <f t="shared" si="0"/>
        <v>#VALUE!</v>
      </c>
      <c r="F113" s="270" t="e">
        <f t="shared" si="1"/>
        <v>#VALUE!</v>
      </c>
      <c r="G113" t="e">
        <f t="shared" si="2"/>
        <v>#VALUE!</v>
      </c>
    </row>
    <row r="114" spans="1:7" x14ac:dyDescent="0.3">
      <c r="D114" s="269" t="str">
        <f>IF(AND('General Information'!$H$405=TRUE, 'General Information'!D518&lt;&gt;"", 'General Information'!E518&lt;&gt;"", 'General Information'!F518&lt;&gt;"", 'General Information'!G518&lt;&gt;""), _xlfn.WEBSERVICE("https://nominatim.openstreetmap.org/search?q=" &amp; 'General Information'!K518 &amp; "&amp;format=json&amp;polygon=1&amp;addressdetails=1"), "")</f>
        <v/>
      </c>
      <c r="E114" s="270" t="e">
        <f t="shared" si="0"/>
        <v>#VALUE!</v>
      </c>
      <c r="F114" s="270" t="e">
        <f t="shared" si="1"/>
        <v>#VALUE!</v>
      </c>
      <c r="G114" t="e">
        <f t="shared" si="2"/>
        <v>#VALUE!</v>
      </c>
    </row>
    <row r="115" spans="1:7" x14ac:dyDescent="0.3">
      <c r="D115" s="269" t="str">
        <f>IF(AND('General Information'!$H$405=TRUE, 'General Information'!D519&lt;&gt;"", 'General Information'!E519&lt;&gt;"", 'General Information'!F519&lt;&gt;"", 'General Information'!G519&lt;&gt;""), _xlfn.WEBSERVICE("https://nominatim.openstreetmap.org/search?q=" &amp; 'General Information'!K519 &amp; "&amp;format=json&amp;polygon=1&amp;addressdetails=1"), "")</f>
        <v/>
      </c>
      <c r="E115" s="270" t="e">
        <f t="shared" si="0"/>
        <v>#VALUE!</v>
      </c>
      <c r="F115" s="270" t="e">
        <f t="shared" si="1"/>
        <v>#VALUE!</v>
      </c>
      <c r="G115" t="e">
        <f t="shared" si="2"/>
        <v>#VALUE!</v>
      </c>
    </row>
    <row r="116" spans="1:7" x14ac:dyDescent="0.3">
      <c r="D116" s="269" t="str">
        <f>IF(AND('General Information'!$H$405=TRUE, 'General Information'!D520&lt;&gt;"", 'General Information'!E520&lt;&gt;"", 'General Information'!F520&lt;&gt;"", 'General Information'!G520&lt;&gt;""), _xlfn.WEBSERVICE("https://nominatim.openstreetmap.org/search?q=" &amp; 'General Information'!K520 &amp; "&amp;format=json&amp;polygon=1&amp;addressdetails=1"), "")</f>
        <v/>
      </c>
      <c r="E116" s="270" t="e">
        <f t="shared" si="0"/>
        <v>#VALUE!</v>
      </c>
      <c r="F116" s="270" t="e">
        <f t="shared" si="1"/>
        <v>#VALUE!</v>
      </c>
      <c r="G116" t="e">
        <f t="shared" si="2"/>
        <v>#VALUE!</v>
      </c>
    </row>
    <row r="117" spans="1:7" x14ac:dyDescent="0.3">
      <c r="D117" s="269" t="str">
        <f>IF(AND('General Information'!$H$405=TRUE, 'General Information'!D521&lt;&gt;"", 'General Information'!E521&lt;&gt;"", 'General Information'!F521&lt;&gt;"", 'General Information'!G521&lt;&gt;""), _xlfn.WEBSERVICE("https://nominatim.openstreetmap.org/search?q=" &amp; 'General Information'!K521 &amp; "&amp;format=json&amp;polygon=1&amp;addressdetails=1"), "")</f>
        <v/>
      </c>
      <c r="E117" s="270" t="e">
        <f t="shared" si="0"/>
        <v>#VALUE!</v>
      </c>
      <c r="F117" s="270" t="e">
        <f t="shared" si="1"/>
        <v>#VALUE!</v>
      </c>
      <c r="G117" t="e">
        <f t="shared" si="2"/>
        <v>#VALUE!</v>
      </c>
    </row>
    <row r="118" spans="1:7" s="12" customFormat="1" ht="15" thickBot="1" x14ac:dyDescent="0.35">
      <c r="D118" s="422" t="str">
        <f>IF(AND('General Information'!$H$405=TRUE, 'General Information'!D522&lt;&gt;"", 'General Information'!E522&lt;&gt;"", 'General Information'!F522&lt;&gt;"", 'General Information'!G522&lt;&gt;""), _xlfn.WEBSERVICE("https://nominatim.openstreetmap.org/search?q=" &amp; 'General Information'!K522 &amp; "&amp;format=json&amp;polygon=1&amp;addressdetails=1"), "")</f>
        <v/>
      </c>
      <c r="E118" s="423" t="e">
        <f>MID(D118,SEARCH("""lat"":""",D118)+7,SEARCH("""lon"":""",D118)-SEARCH("""lat"":""",D118)-9)</f>
        <v>#VALUE!</v>
      </c>
      <c r="F118" s="423" t="e">
        <f>MID(D118, SEARCH("""lon"":""", D118) + 7, SEARCH("""class""", D118) - SEARCH("""lon"":""", D118) - 9)</f>
        <v>#VALUE!</v>
      </c>
      <c r="G118" s="12" t="e">
        <f>E118 &amp; "," &amp; F118</f>
        <v>#VALUE!</v>
      </c>
    </row>
    <row r="119" spans="1:7" ht="79.95" customHeight="1" x14ac:dyDescent="0.3">
      <c r="A119" s="421" t="s">
        <v>9457</v>
      </c>
    </row>
    <row r="120" spans="1:7" x14ac:dyDescent="0.3">
      <c r="A120" s="420">
        <v>1</v>
      </c>
    </row>
    <row r="121" spans="1:7" x14ac:dyDescent="0.3">
      <c r="A121" s="420">
        <v>2</v>
      </c>
    </row>
    <row r="122" spans="1:7" x14ac:dyDescent="0.3">
      <c r="A122" s="420">
        <v>3</v>
      </c>
    </row>
    <row r="123" spans="1:7" x14ac:dyDescent="0.3">
      <c r="A123" s="420">
        <v>4</v>
      </c>
    </row>
    <row r="124" spans="1:7" x14ac:dyDescent="0.3">
      <c r="A124" s="420">
        <v>5</v>
      </c>
    </row>
    <row r="125" spans="1:7" x14ac:dyDescent="0.3">
      <c r="A125" s="420">
        <v>6</v>
      </c>
    </row>
    <row r="126" spans="1:7" x14ac:dyDescent="0.3">
      <c r="A126" s="420">
        <v>7</v>
      </c>
    </row>
    <row r="127" spans="1:7" x14ac:dyDescent="0.3">
      <c r="A127" s="420">
        <v>8</v>
      </c>
    </row>
    <row r="128" spans="1:7" x14ac:dyDescent="0.3">
      <c r="A128" s="420">
        <v>9</v>
      </c>
    </row>
    <row r="129" spans="1:1" x14ac:dyDescent="0.3">
      <c r="A129" s="420">
        <v>10</v>
      </c>
    </row>
    <row r="130" spans="1:1" x14ac:dyDescent="0.3">
      <c r="A130" s="420">
        <v>11</v>
      </c>
    </row>
    <row r="131" spans="1:1" x14ac:dyDescent="0.3">
      <c r="A131" s="420">
        <v>12</v>
      </c>
    </row>
    <row r="132" spans="1:1" x14ac:dyDescent="0.3">
      <c r="A132" s="420">
        <v>13</v>
      </c>
    </row>
    <row r="133" spans="1:1" x14ac:dyDescent="0.3">
      <c r="A133" s="420">
        <v>14</v>
      </c>
    </row>
    <row r="134" spans="1:1" x14ac:dyDescent="0.3">
      <c r="A134" s="420">
        <v>15</v>
      </c>
    </row>
    <row r="135" spans="1:1" x14ac:dyDescent="0.3">
      <c r="A135" s="420">
        <v>16</v>
      </c>
    </row>
    <row r="136" spans="1:1" x14ac:dyDescent="0.3">
      <c r="A136" s="420">
        <v>17</v>
      </c>
    </row>
    <row r="137" spans="1:1" x14ac:dyDescent="0.3">
      <c r="A137" s="420">
        <v>18</v>
      </c>
    </row>
    <row r="138" spans="1:1" x14ac:dyDescent="0.3">
      <c r="A138" s="420">
        <v>19</v>
      </c>
    </row>
    <row r="139" spans="1:1" x14ac:dyDescent="0.3">
      <c r="A139" s="420">
        <v>20</v>
      </c>
    </row>
    <row r="140" spans="1:1" x14ac:dyDescent="0.3">
      <c r="A140" s="420">
        <v>21</v>
      </c>
    </row>
    <row r="141" spans="1:1" x14ac:dyDescent="0.3">
      <c r="A141" s="420">
        <v>22</v>
      </c>
    </row>
    <row r="142" spans="1:1" x14ac:dyDescent="0.3">
      <c r="A142" s="420">
        <v>23</v>
      </c>
    </row>
    <row r="143" spans="1:1" x14ac:dyDescent="0.3">
      <c r="A143" s="420">
        <v>24</v>
      </c>
    </row>
    <row r="144" spans="1:1" x14ac:dyDescent="0.3">
      <c r="A144" s="420">
        <v>25</v>
      </c>
    </row>
    <row r="145" spans="1:1" x14ac:dyDescent="0.3">
      <c r="A145" s="420">
        <v>26</v>
      </c>
    </row>
    <row r="146" spans="1:1" x14ac:dyDescent="0.3">
      <c r="A146" s="420">
        <v>27</v>
      </c>
    </row>
    <row r="147" spans="1:1" x14ac:dyDescent="0.3">
      <c r="A147" s="420">
        <v>28</v>
      </c>
    </row>
    <row r="148" spans="1:1" x14ac:dyDescent="0.3">
      <c r="A148" s="420">
        <v>29</v>
      </c>
    </row>
    <row r="149" spans="1:1" x14ac:dyDescent="0.3">
      <c r="A149" s="420">
        <v>30</v>
      </c>
    </row>
    <row r="150" spans="1:1" x14ac:dyDescent="0.3">
      <c r="A150" s="420">
        <v>31</v>
      </c>
    </row>
    <row r="151" spans="1:1" x14ac:dyDescent="0.3">
      <c r="A151" s="420">
        <v>32</v>
      </c>
    </row>
    <row r="152" spans="1:1" x14ac:dyDescent="0.3">
      <c r="A152" s="420">
        <v>33</v>
      </c>
    </row>
    <row r="153" spans="1:1" x14ac:dyDescent="0.3">
      <c r="A153" s="420">
        <v>34</v>
      </c>
    </row>
    <row r="154" spans="1:1" x14ac:dyDescent="0.3">
      <c r="A154" s="420">
        <v>35</v>
      </c>
    </row>
    <row r="155" spans="1:1" x14ac:dyDescent="0.3">
      <c r="A155" s="420">
        <v>36</v>
      </c>
    </row>
    <row r="156" spans="1:1" x14ac:dyDescent="0.3">
      <c r="A156" s="420">
        <v>37</v>
      </c>
    </row>
    <row r="157" spans="1:1" x14ac:dyDescent="0.3">
      <c r="A157" s="420">
        <v>38</v>
      </c>
    </row>
    <row r="158" spans="1:1" x14ac:dyDescent="0.3">
      <c r="A158" s="420">
        <v>39</v>
      </c>
    </row>
    <row r="159" spans="1:1" x14ac:dyDescent="0.3">
      <c r="A159" s="420">
        <v>40</v>
      </c>
    </row>
    <row r="160" spans="1:1" x14ac:dyDescent="0.3">
      <c r="A160" s="420">
        <v>41</v>
      </c>
    </row>
    <row r="161" spans="1:1" x14ac:dyDescent="0.3">
      <c r="A161" s="420">
        <v>42</v>
      </c>
    </row>
    <row r="162" spans="1:1" x14ac:dyDescent="0.3">
      <c r="A162" s="420">
        <v>43</v>
      </c>
    </row>
    <row r="163" spans="1:1" x14ac:dyDescent="0.3">
      <c r="A163" s="420">
        <v>44</v>
      </c>
    </row>
    <row r="164" spans="1:1" x14ac:dyDescent="0.3">
      <c r="A164" s="420">
        <v>45</v>
      </c>
    </row>
    <row r="165" spans="1:1" x14ac:dyDescent="0.3">
      <c r="A165" s="420">
        <v>46</v>
      </c>
    </row>
    <row r="166" spans="1:1" x14ac:dyDescent="0.3">
      <c r="A166" s="420">
        <v>47</v>
      </c>
    </row>
    <row r="167" spans="1:1" x14ac:dyDescent="0.3">
      <c r="A167" s="420">
        <v>48</v>
      </c>
    </row>
    <row r="168" spans="1:1" x14ac:dyDescent="0.3">
      <c r="A168" s="420">
        <v>49</v>
      </c>
    </row>
    <row r="169" spans="1:1" x14ac:dyDescent="0.3">
      <c r="A169" s="420">
        <v>50</v>
      </c>
    </row>
    <row r="170" spans="1:1" x14ac:dyDescent="0.3">
      <c r="A170" s="420">
        <v>51</v>
      </c>
    </row>
    <row r="171" spans="1:1" x14ac:dyDescent="0.3">
      <c r="A171" s="420">
        <v>52</v>
      </c>
    </row>
    <row r="172" spans="1:1" x14ac:dyDescent="0.3">
      <c r="A172" s="420">
        <v>53</v>
      </c>
    </row>
    <row r="173" spans="1:1" x14ac:dyDescent="0.3">
      <c r="A173" s="420">
        <v>54</v>
      </c>
    </row>
    <row r="174" spans="1:1" x14ac:dyDescent="0.3">
      <c r="A174" s="420">
        <v>55</v>
      </c>
    </row>
    <row r="175" spans="1:1" x14ac:dyDescent="0.3">
      <c r="A175" s="420">
        <v>56</v>
      </c>
    </row>
    <row r="176" spans="1:1" x14ac:dyDescent="0.3">
      <c r="A176" s="420">
        <v>57</v>
      </c>
    </row>
    <row r="177" spans="1:6" x14ac:dyDescent="0.3">
      <c r="A177" s="420">
        <v>58</v>
      </c>
    </row>
    <row r="178" spans="1:6" x14ac:dyDescent="0.3">
      <c r="A178" s="420">
        <v>59</v>
      </c>
    </row>
    <row r="179" spans="1:6" x14ac:dyDescent="0.3">
      <c r="A179" s="420">
        <v>60</v>
      </c>
    </row>
    <row r="180" spans="1:6" x14ac:dyDescent="0.3">
      <c r="A180" s="420">
        <v>61</v>
      </c>
    </row>
    <row r="181" spans="1:6" x14ac:dyDescent="0.3">
      <c r="A181" s="420">
        <v>62</v>
      </c>
    </row>
    <row r="182" spans="1:6" x14ac:dyDescent="0.3">
      <c r="A182" s="420">
        <v>63</v>
      </c>
    </row>
    <row r="183" spans="1:6" x14ac:dyDescent="0.3">
      <c r="A183" s="420">
        <v>64</v>
      </c>
    </row>
    <row r="184" spans="1:6" x14ac:dyDescent="0.3">
      <c r="A184" s="420">
        <v>65</v>
      </c>
    </row>
    <row r="185" spans="1:6" x14ac:dyDescent="0.3">
      <c r="A185" s="420">
        <v>66</v>
      </c>
    </row>
    <row r="186" spans="1:6" x14ac:dyDescent="0.3">
      <c r="A186" s="420">
        <v>67</v>
      </c>
    </row>
    <row r="187" spans="1:6" x14ac:dyDescent="0.3">
      <c r="A187" s="420">
        <v>68</v>
      </c>
    </row>
    <row r="188" spans="1:6" x14ac:dyDescent="0.3">
      <c r="A188" s="420">
        <v>69</v>
      </c>
    </row>
    <row r="189" spans="1:6" s="12" customFormat="1" ht="15" thickBot="1" x14ac:dyDescent="0.35">
      <c r="A189" s="474">
        <v>70</v>
      </c>
    </row>
    <row r="190" spans="1:6" ht="31.2" x14ac:dyDescent="0.6">
      <c r="A190" s="10"/>
      <c r="B190" s="471" t="s">
        <v>3446</v>
      </c>
      <c r="C190" s="472" t="s">
        <v>3996</v>
      </c>
      <c r="D190" s="473" t="s">
        <v>4013</v>
      </c>
    </row>
    <row r="191" spans="1:6" ht="14.7" customHeight="1" x14ac:dyDescent="0.3">
      <c r="A191" s="10"/>
      <c r="B191" s="614" t="s">
        <v>4026</v>
      </c>
      <c r="C191" s="436" t="s">
        <v>8857</v>
      </c>
      <c r="D191" s="1228" t="s">
        <v>9458</v>
      </c>
    </row>
    <row r="192" spans="1:6" ht="18" x14ac:dyDescent="0.3">
      <c r="A192" s="10"/>
      <c r="B192" s="615"/>
      <c r="C192" s="432" t="s">
        <v>4039</v>
      </c>
      <c r="D192" s="1229"/>
      <c r="E192" s="353" t="s">
        <v>9459</v>
      </c>
      <c r="F192" s="442" t="s">
        <v>9460</v>
      </c>
    </row>
    <row r="193" spans="1:6" ht="18" x14ac:dyDescent="0.35">
      <c r="A193" s="10"/>
      <c r="B193" s="445" t="s">
        <v>4052</v>
      </c>
      <c r="C193" s="454"/>
      <c r="D193" s="414"/>
      <c r="E193" s="563" t="str">
        <f>IF('Table of Contents &amp; Validation'!D5=TRUE,COUNTIF('Table of Contents &amp; Validation'!$D$5:D5,TRUE),"")</f>
        <v/>
      </c>
      <c r="F193" s="564"/>
    </row>
    <row r="194" spans="1:6" ht="18" x14ac:dyDescent="0.35">
      <c r="A194" s="10"/>
      <c r="B194" s="449" t="s">
        <v>4065</v>
      </c>
      <c r="C194" s="455"/>
      <c r="D194" s="415"/>
      <c r="E194" s="563" t="str">
        <f>IF('Table of Contents &amp; Validation'!D6=TRUE,COUNTIF('Table of Contents &amp; Validation'!$D$5:D6,TRUE),"")</f>
        <v/>
      </c>
      <c r="F194" s="564"/>
    </row>
    <row r="195" spans="1:6" ht="28.8" x14ac:dyDescent="0.3">
      <c r="A195" s="10"/>
      <c r="B195" s="449" t="s">
        <v>9461</v>
      </c>
      <c r="C195" s="455"/>
      <c r="D195" s="439" t="b">
        <v>0</v>
      </c>
      <c r="E195" s="10" t="str">
        <f>IF('Table of Contents &amp; Validation'!D7=TRUE,COUNTIF('Table of Contents &amp; Validation'!$D$5:D7,TRUE),"")</f>
        <v/>
      </c>
      <c r="F195" s="443">
        <f>IF('Table of Contents &amp; Validation'!D7=TRUE,1,0)</f>
        <v>0</v>
      </c>
    </row>
    <row r="196" spans="1:6" ht="18.600000000000001" thickBot="1" x14ac:dyDescent="0.4">
      <c r="A196" s="10"/>
      <c r="B196" s="449" t="s">
        <v>4078</v>
      </c>
      <c r="C196" s="455"/>
      <c r="D196" s="415"/>
      <c r="E196" s="563" t="str">
        <f>IF('Table of Contents &amp; Validation'!D8=TRUE,COUNTIF('Table of Contents &amp; Validation'!$D$5:D8,TRUE),"")</f>
        <v/>
      </c>
      <c r="F196" s="564"/>
    </row>
    <row r="197" spans="1:6" ht="18" x14ac:dyDescent="0.35">
      <c r="A197" s="10"/>
      <c r="B197" s="377" t="s">
        <v>3767</v>
      </c>
      <c r="C197" s="456"/>
      <c r="D197" s="416"/>
      <c r="E197" s="563" t="str">
        <f>IF('Table of Contents &amp; Validation'!D9=TRUE,COUNTIF('Table of Contents &amp; Validation'!$D$5:D9,TRUE),"")</f>
        <v/>
      </c>
      <c r="F197" s="564"/>
    </row>
    <row r="198" spans="1:6" x14ac:dyDescent="0.3">
      <c r="A198" s="10"/>
      <c r="B198" s="445" t="s">
        <v>4052</v>
      </c>
      <c r="C198" s="454"/>
      <c r="D198" s="417"/>
      <c r="E198" s="563" t="str">
        <f>IF('Table of Contents &amp; Validation'!D10=TRUE,COUNTIF('Table of Contents &amp; Validation'!$D$5:D10,TRUE),"")</f>
        <v/>
      </c>
      <c r="F198" s="564"/>
    </row>
    <row r="199" spans="1:6" x14ac:dyDescent="0.3">
      <c r="A199" s="10"/>
      <c r="B199" s="446" t="s">
        <v>4093</v>
      </c>
      <c r="C199" s="455"/>
      <c r="D199" s="460" t="b">
        <v>0</v>
      </c>
      <c r="E199" s="10" t="str">
        <f>IF('Table of Contents &amp; Validation'!D11=TRUE,COUNTIF('Table of Contents &amp; Validation'!$D$5:D11,TRUE),"")</f>
        <v/>
      </c>
      <c r="F199" s="443">
        <f>IF('Table of Contents &amp; Validation'!D11=TRUE,1,0)</f>
        <v>0</v>
      </c>
    </row>
    <row r="200" spans="1:6" x14ac:dyDescent="0.3">
      <c r="A200" s="10"/>
      <c r="B200" s="450" t="s">
        <v>4745</v>
      </c>
      <c r="C200" s="455"/>
      <c r="D200" s="216"/>
      <c r="E200" s="563"/>
      <c r="F200" s="564"/>
    </row>
    <row r="201" spans="1:6" x14ac:dyDescent="0.3">
      <c r="A201" s="10"/>
      <c r="B201" s="450" t="s">
        <v>4758</v>
      </c>
      <c r="C201" s="455"/>
      <c r="D201" s="439" t="b">
        <v>0</v>
      </c>
      <c r="E201" s="10" t="str">
        <f>IF('Table of Contents &amp; Validation'!D13=TRUE,COUNTIF('Table of Contents &amp; Validation'!$D$5:D13,TRUE),"")</f>
        <v/>
      </c>
      <c r="F201" s="443">
        <f>IF('Table of Contents &amp; Validation'!D13=TRUE,1,0)</f>
        <v>0</v>
      </c>
    </row>
    <row r="202" spans="1:6" x14ac:dyDescent="0.3">
      <c r="A202" s="10"/>
      <c r="B202" s="450" t="s">
        <v>4927</v>
      </c>
      <c r="C202" s="455"/>
      <c r="D202" s="439" t="b">
        <v>0</v>
      </c>
      <c r="E202" s="10" t="str">
        <f>IF('Table of Contents &amp; Validation'!D14=TRUE,COUNTIF('Table of Contents &amp; Validation'!$D$5:D14,TRUE),"")</f>
        <v/>
      </c>
      <c r="F202" s="443">
        <f>IF('Table of Contents &amp; Validation'!D14=TRUE,1,0)</f>
        <v>0</v>
      </c>
    </row>
    <row r="203" spans="1:6" x14ac:dyDescent="0.3">
      <c r="A203" s="10"/>
      <c r="B203" s="450" t="s">
        <v>4968</v>
      </c>
      <c r="C203" s="455"/>
      <c r="D203" s="439" t="b">
        <v>0</v>
      </c>
      <c r="E203" s="10" t="str">
        <f>IF('Table of Contents &amp; Validation'!D15=TRUE,COUNTIF('Table of Contents &amp; Validation'!$D$5:D15,TRUE),"")</f>
        <v/>
      </c>
      <c r="F203" s="443">
        <f>IF('Table of Contents &amp; Validation'!D15=TRUE,1,0)</f>
        <v>0</v>
      </c>
    </row>
    <row r="204" spans="1:6" x14ac:dyDescent="0.3">
      <c r="A204" s="10"/>
      <c r="B204" s="450" t="s">
        <v>5007</v>
      </c>
      <c r="C204" s="455"/>
      <c r="D204" s="439" t="b">
        <v>0</v>
      </c>
      <c r="E204" s="10" t="str">
        <f>IF('Table of Contents &amp; Validation'!D16=TRUE,COUNTIF('Table of Contents &amp; Validation'!$D$5:D16,TRUE),"")</f>
        <v/>
      </c>
      <c r="F204" s="443">
        <f>IF('Table of Contents &amp; Validation'!D16=TRUE,1,0)</f>
        <v>0</v>
      </c>
    </row>
    <row r="205" spans="1:6" ht="28.8" x14ac:dyDescent="0.3">
      <c r="A205" s="10"/>
      <c r="B205" s="500" t="s">
        <v>9462</v>
      </c>
      <c r="C205" s="455"/>
      <c r="D205" s="439" t="b">
        <v>0</v>
      </c>
      <c r="E205" s="10" t="str">
        <f>IF('Table of Contents &amp; Validation'!D17=TRUE,COUNTIF('Table of Contents &amp; Validation'!$D$5:D17,TRUE),"")</f>
        <v/>
      </c>
      <c r="F205" s="443">
        <f>IF('Table of Contents &amp; Validation'!D17=TRUE,1,0)</f>
        <v>0</v>
      </c>
    </row>
    <row r="206" spans="1:6" x14ac:dyDescent="0.3">
      <c r="A206" s="10"/>
      <c r="B206" s="499" t="s">
        <v>5275</v>
      </c>
      <c r="C206" s="455"/>
      <c r="D206" s="439" t="b">
        <v>0</v>
      </c>
      <c r="E206" s="10" t="str">
        <f>IF('Table of Contents &amp; Validation'!D18=TRUE,COUNTIF('Table of Contents &amp; Validation'!$D$5:D18,TRUE),"")</f>
        <v/>
      </c>
      <c r="F206" s="443">
        <f>IF('Table of Contents &amp; Validation'!D18=TRUE,1,0)</f>
        <v>0</v>
      </c>
    </row>
    <row r="207" spans="1:6" x14ac:dyDescent="0.3">
      <c r="A207" s="10"/>
      <c r="B207" s="447" t="s">
        <v>4119</v>
      </c>
      <c r="C207" s="454"/>
      <c r="D207" s="462"/>
      <c r="E207" s="563" t="str">
        <f>IF('Table of Contents &amp; Validation'!D19=TRUE,COUNTIF('Table of Contents &amp; Validation'!$D$5:D19,TRUE),"")</f>
        <v/>
      </c>
      <c r="F207" s="564"/>
    </row>
    <row r="208" spans="1:6" x14ac:dyDescent="0.3">
      <c r="A208" s="10"/>
      <c r="B208" s="446" t="s">
        <v>4132</v>
      </c>
      <c r="C208" s="455"/>
      <c r="D208" s="461" t="b">
        <v>0</v>
      </c>
      <c r="E208" s="10" t="str">
        <f>IF('Table of Contents &amp; Validation'!D20=TRUE,COUNTIF('Table of Contents &amp; Validation'!$D$5:D20,TRUE),"")</f>
        <v/>
      </c>
      <c r="F208" s="443">
        <f>IF('Table of Contents &amp; Validation'!D20=TRUE,1,0)</f>
        <v>0</v>
      </c>
    </row>
    <row r="209" spans="1:6" x14ac:dyDescent="0.3">
      <c r="A209" s="10"/>
      <c r="B209" s="450" t="s">
        <v>5451</v>
      </c>
      <c r="C209" s="455"/>
      <c r="D209" s="439" t="b">
        <v>0</v>
      </c>
      <c r="E209" s="10" t="str">
        <f>IF('Table of Contents &amp; Validation'!D21=TRUE,COUNTIF('Table of Contents &amp; Validation'!$D$5:D21,TRUE),"")</f>
        <v/>
      </c>
      <c r="F209" s="443">
        <f>IF('Table of Contents &amp; Validation'!D21=TRUE,1,0)</f>
        <v>0</v>
      </c>
    </row>
    <row r="210" spans="1:6" x14ac:dyDescent="0.3">
      <c r="A210" s="10"/>
      <c r="B210" s="450" t="s">
        <v>5477</v>
      </c>
      <c r="C210" s="455"/>
      <c r="D210" s="439" t="b">
        <v>0</v>
      </c>
      <c r="E210" s="10" t="str">
        <f>IF('Table of Contents &amp; Validation'!D22=TRUE,COUNTIF('Table of Contents &amp; Validation'!$D$5:D22,TRUE),"")</f>
        <v/>
      </c>
      <c r="F210" s="443">
        <f>IF('Table of Contents &amp; Validation'!D22=TRUE,1,0)</f>
        <v>0</v>
      </c>
    </row>
    <row r="211" spans="1:6" ht="28.8" x14ac:dyDescent="0.3">
      <c r="A211" s="10"/>
      <c r="B211" s="450" t="s">
        <v>5579</v>
      </c>
      <c r="C211" s="455"/>
      <c r="D211" s="439" t="b">
        <v>0</v>
      </c>
      <c r="E211" s="10" t="str">
        <f>IF('Table of Contents &amp; Validation'!D23=TRUE,COUNTIF('Table of Contents &amp; Validation'!$D$5:D23,TRUE),"")</f>
        <v/>
      </c>
      <c r="F211" s="443">
        <f>IF('Table of Contents &amp; Validation'!D23=TRUE,1,0)</f>
        <v>0</v>
      </c>
    </row>
    <row r="212" spans="1:6" x14ac:dyDescent="0.3">
      <c r="A212" s="10"/>
      <c r="B212" s="450" t="s">
        <v>6105</v>
      </c>
      <c r="C212" s="455"/>
      <c r="D212" s="439" t="b">
        <v>0</v>
      </c>
      <c r="E212" s="10" t="str">
        <f>IF('Table of Contents &amp; Validation'!D24=TRUE,COUNTIF('Table of Contents &amp; Validation'!$D$5:D24,TRUE),"")</f>
        <v/>
      </c>
      <c r="F212" s="443">
        <f>IF('Table of Contents &amp; Validation'!D24=TRUE,1,0)</f>
        <v>0</v>
      </c>
    </row>
    <row r="213" spans="1:6" x14ac:dyDescent="0.3">
      <c r="A213" s="10"/>
      <c r="B213" s="449" t="s">
        <v>4145</v>
      </c>
      <c r="C213" s="455"/>
      <c r="D213" s="439" t="b">
        <v>0</v>
      </c>
      <c r="E213" s="10" t="str">
        <f>IF('Table of Contents &amp; Validation'!D25=TRUE,COUNTIF('Table of Contents &amp; Validation'!$D$5:D25,TRUE),"")</f>
        <v/>
      </c>
      <c r="F213" s="443">
        <f>IF('Table of Contents &amp; Validation'!D25=TRUE,1,0)</f>
        <v>0</v>
      </c>
    </row>
    <row r="214" spans="1:6" x14ac:dyDescent="0.3">
      <c r="A214" s="10"/>
      <c r="B214" s="449" t="s">
        <v>4158</v>
      </c>
      <c r="C214" s="455"/>
      <c r="D214" s="461" t="b">
        <v>0</v>
      </c>
      <c r="E214" s="10" t="str">
        <f>IF('Table of Contents &amp; Validation'!D26=TRUE,COUNTIF('Table of Contents &amp; Validation'!$D$5:D26,TRUE),"")</f>
        <v/>
      </c>
      <c r="F214" s="443">
        <f>IF('Table of Contents &amp; Validation'!D26=TRUE,1,0)</f>
        <v>0</v>
      </c>
    </row>
    <row r="215" spans="1:6" x14ac:dyDescent="0.3">
      <c r="A215" s="10"/>
      <c r="B215" s="450" t="s">
        <v>6295</v>
      </c>
      <c r="C215" s="455"/>
      <c r="D215" s="439" t="b">
        <v>0</v>
      </c>
      <c r="E215" s="10" t="str">
        <f>IF('Table of Contents &amp; Validation'!D27=TRUE,COUNTIF('Table of Contents &amp; Validation'!$D$5:D27,TRUE),"")</f>
        <v/>
      </c>
      <c r="F215" s="443">
        <f>IF('Table of Contents &amp; Validation'!D27=TRUE,1,0)</f>
        <v>0</v>
      </c>
    </row>
    <row r="216" spans="1:6" x14ac:dyDescent="0.3">
      <c r="A216" s="10"/>
      <c r="B216" s="450" t="s">
        <v>6399</v>
      </c>
      <c r="C216" s="455"/>
      <c r="D216" s="439" t="b">
        <v>0</v>
      </c>
      <c r="E216" s="10" t="str">
        <f>IF('Table of Contents &amp; Validation'!D28=TRUE,COUNTIF('Table of Contents &amp; Validation'!$D$5:D28,TRUE),"")</f>
        <v/>
      </c>
      <c r="F216" s="443">
        <f>IF('Table of Contents &amp; Validation'!D28=TRUE,1,0)</f>
        <v>0</v>
      </c>
    </row>
    <row r="217" spans="1:6" x14ac:dyDescent="0.3">
      <c r="A217" s="10"/>
      <c r="B217" s="449" t="s">
        <v>4171</v>
      </c>
      <c r="C217" s="455"/>
      <c r="D217" s="461" t="b">
        <v>0</v>
      </c>
      <c r="E217" s="10" t="str">
        <f>IF('Table of Contents &amp; Validation'!D29=TRUE,COUNTIF('Table of Contents &amp; Validation'!$D$5:D29,TRUE),"")</f>
        <v/>
      </c>
      <c r="F217" s="443">
        <f>IF('Table of Contents &amp; Validation'!D29=TRUE,1,0)</f>
        <v>0</v>
      </c>
    </row>
    <row r="218" spans="1:6" x14ac:dyDescent="0.3">
      <c r="A218" s="10"/>
      <c r="B218" s="450" t="s">
        <v>6489</v>
      </c>
      <c r="C218" s="455"/>
      <c r="D218" s="439" t="b">
        <v>0</v>
      </c>
      <c r="E218" s="10" t="str">
        <f>IF('Table of Contents &amp; Validation'!D30=TRUE,COUNTIF('Table of Contents &amp; Validation'!$D$5:D30,TRUE),"")</f>
        <v/>
      </c>
      <c r="F218" s="443">
        <f>IF('Table of Contents &amp; Validation'!D30=TRUE,1,0)</f>
        <v>0</v>
      </c>
    </row>
    <row r="219" spans="1:6" x14ac:dyDescent="0.3">
      <c r="A219" s="10"/>
      <c r="B219" s="450" t="s">
        <v>6528</v>
      </c>
      <c r="C219" s="455"/>
      <c r="D219" s="439" t="b">
        <v>0</v>
      </c>
      <c r="E219" s="10" t="str">
        <f>IF('Table of Contents &amp; Validation'!D31=TRUE,COUNTIF('Table of Contents &amp; Validation'!$D$5:D31,TRUE),"")</f>
        <v/>
      </c>
      <c r="F219" s="443">
        <f>IF('Table of Contents &amp; Validation'!D31=TRUE,1,0)</f>
        <v>0</v>
      </c>
    </row>
    <row r="220" spans="1:6" x14ac:dyDescent="0.3">
      <c r="A220" s="10"/>
      <c r="B220" s="449" t="s">
        <v>4184</v>
      </c>
      <c r="C220" s="455"/>
      <c r="D220" s="461" t="b">
        <v>0</v>
      </c>
      <c r="E220" s="10" t="str">
        <f>IF('Table of Contents &amp; Validation'!D32=TRUE,COUNTIF('Table of Contents &amp; Validation'!$D$5:D32,TRUE),"")</f>
        <v/>
      </c>
      <c r="F220" s="443">
        <f>IF('Table of Contents &amp; Validation'!D32=TRUE,1,0)</f>
        <v>0</v>
      </c>
    </row>
    <row r="221" spans="1:6" x14ac:dyDescent="0.3">
      <c r="A221" s="10"/>
      <c r="B221" s="450" t="s">
        <v>6580</v>
      </c>
      <c r="C221" s="455"/>
      <c r="D221" s="439" t="b">
        <v>0</v>
      </c>
      <c r="E221" s="10" t="str">
        <f>IF('Table of Contents &amp; Validation'!D33=TRUE,COUNTIF('Table of Contents &amp; Validation'!$D$5:D33,TRUE),"")</f>
        <v/>
      </c>
      <c r="F221" s="443">
        <f>IF('Table of Contents &amp; Validation'!D33=TRUE,1,0)</f>
        <v>0</v>
      </c>
    </row>
    <row r="222" spans="1:6" x14ac:dyDescent="0.3">
      <c r="A222" s="10"/>
      <c r="B222" s="450" t="s">
        <v>6619</v>
      </c>
      <c r="C222" s="455"/>
      <c r="D222" s="439" t="b">
        <v>0</v>
      </c>
      <c r="E222" s="10" t="str">
        <f>IF('Table of Contents &amp; Validation'!D34=TRUE,COUNTIF('Table of Contents &amp; Validation'!$D$5:D34,TRUE),"")</f>
        <v/>
      </c>
      <c r="F222" s="443">
        <f>IF('Table of Contents &amp; Validation'!D34=TRUE,1,0)</f>
        <v>0</v>
      </c>
    </row>
    <row r="223" spans="1:6" x14ac:dyDescent="0.3">
      <c r="A223" s="10"/>
      <c r="B223" s="450" t="s">
        <v>6799</v>
      </c>
      <c r="C223" s="455"/>
      <c r="D223" s="439" t="b">
        <v>0</v>
      </c>
      <c r="E223" s="10" t="str">
        <f>IF('Table of Contents &amp; Validation'!D35=TRUE,COUNTIF('Table of Contents &amp; Validation'!$D$5:D35,TRUE),"")</f>
        <v/>
      </c>
      <c r="F223" s="443">
        <f>IF('Table of Contents &amp; Validation'!D35=TRUE,1,0)</f>
        <v>0</v>
      </c>
    </row>
    <row r="224" spans="1:6" x14ac:dyDescent="0.3">
      <c r="A224" s="10"/>
      <c r="B224" s="447" t="s">
        <v>4197</v>
      </c>
      <c r="C224" s="454"/>
      <c r="D224" s="463"/>
      <c r="E224" s="563" t="str">
        <f>IF('Table of Contents &amp; Validation'!D36=TRUE,COUNTIF('Table of Contents &amp; Validation'!$D$5:D36,TRUE),"")</f>
        <v/>
      </c>
      <c r="F224" s="564"/>
    </row>
    <row r="225" spans="1:6" x14ac:dyDescent="0.3">
      <c r="A225" s="10"/>
      <c r="B225" s="446" t="s">
        <v>4210</v>
      </c>
      <c r="C225" s="455"/>
      <c r="D225" s="461" t="b">
        <v>0</v>
      </c>
      <c r="E225" s="10" t="str">
        <f>IF('Table of Contents &amp; Validation'!D37=TRUE,COUNTIF('Table of Contents &amp; Validation'!$D$5:D37,TRUE),"")</f>
        <v/>
      </c>
      <c r="F225" s="443">
        <f>IF('Table of Contents &amp; Validation'!D37=TRUE,1,0)</f>
        <v>0</v>
      </c>
    </row>
    <row r="226" spans="1:6" x14ac:dyDescent="0.3">
      <c r="A226" s="10"/>
      <c r="B226" s="450" t="s">
        <v>7014</v>
      </c>
      <c r="C226" s="455"/>
      <c r="D226" s="439" t="b">
        <v>0</v>
      </c>
      <c r="E226" s="10" t="str">
        <f>IF('Table of Contents &amp; Validation'!D38=TRUE,COUNTIF('Table of Contents &amp; Validation'!$D$5:D38,TRUE),"")</f>
        <v/>
      </c>
      <c r="F226" s="443">
        <f>IF('Table of Contents &amp; Validation'!D38=TRUE,1,0)</f>
        <v>0</v>
      </c>
    </row>
    <row r="227" spans="1:6" x14ac:dyDescent="0.3">
      <c r="A227" s="10"/>
      <c r="B227" s="450" t="s">
        <v>7077</v>
      </c>
      <c r="C227" s="455"/>
      <c r="D227" s="439" t="b">
        <v>0</v>
      </c>
      <c r="E227" s="10" t="str">
        <f>IF('Table of Contents &amp; Validation'!D39=TRUE,COUNTIF('Table of Contents &amp; Validation'!$D$5:D39,TRUE),"")</f>
        <v/>
      </c>
      <c r="F227" s="443">
        <f>IF('Table of Contents &amp; Validation'!D39=TRUE,1,0)</f>
        <v>0</v>
      </c>
    </row>
    <row r="228" spans="1:6" x14ac:dyDescent="0.3">
      <c r="A228" s="10"/>
      <c r="B228" s="450" t="s">
        <v>7151</v>
      </c>
      <c r="C228" s="455"/>
      <c r="D228" s="439" t="b">
        <v>0</v>
      </c>
      <c r="E228" s="10" t="str">
        <f>IF('Table of Contents &amp; Validation'!D40=TRUE,COUNTIF('Table of Contents &amp; Validation'!$D$5:D40,TRUE),"")</f>
        <v/>
      </c>
      <c r="F228" s="443">
        <f>IF('Table of Contents &amp; Validation'!D40=TRUE,1,0)</f>
        <v>0</v>
      </c>
    </row>
    <row r="229" spans="1:6" x14ac:dyDescent="0.3">
      <c r="A229" s="10"/>
      <c r="B229" s="450" t="s">
        <v>7190</v>
      </c>
      <c r="C229" s="455"/>
      <c r="D229" s="439" t="b">
        <v>0</v>
      </c>
      <c r="E229" s="10" t="str">
        <f>IF('Table of Contents &amp; Validation'!D41=TRUE,COUNTIF('Table of Contents &amp; Validation'!$D$5:D41,TRUE),"")</f>
        <v/>
      </c>
      <c r="F229" s="443">
        <f>IF('Table of Contents &amp; Validation'!D41=TRUE,1,0)</f>
        <v>0</v>
      </c>
    </row>
    <row r="230" spans="1:6" x14ac:dyDescent="0.3">
      <c r="A230" s="10"/>
      <c r="B230" s="449" t="s">
        <v>4223</v>
      </c>
      <c r="C230" s="455"/>
      <c r="D230" s="439" t="b">
        <v>0</v>
      </c>
      <c r="E230" s="10" t="str">
        <f>IF('Table of Contents &amp; Validation'!D42=TRUE,COUNTIF('Table of Contents &amp; Validation'!$D$5:D42,TRUE),"")</f>
        <v/>
      </c>
      <c r="F230" s="443">
        <f>IF('Table of Contents &amp; Validation'!D42=TRUE,1,0)</f>
        <v>0</v>
      </c>
    </row>
    <row r="231" spans="1:6" x14ac:dyDescent="0.3">
      <c r="A231" s="10"/>
      <c r="B231" s="449" t="s">
        <v>4236</v>
      </c>
      <c r="C231" s="455"/>
      <c r="D231" s="461" t="b">
        <v>0</v>
      </c>
      <c r="E231" s="10" t="str">
        <f>IF('Table of Contents &amp; Validation'!D43=TRUE,COUNTIF('Table of Contents &amp; Validation'!$D$5:D43,TRUE),"")</f>
        <v/>
      </c>
      <c r="F231" s="443">
        <f>IF('Table of Contents &amp; Validation'!D43=TRUE,1,0)</f>
        <v>0</v>
      </c>
    </row>
    <row r="232" spans="1:6" x14ac:dyDescent="0.3">
      <c r="A232" s="10"/>
      <c r="B232" s="450" t="s">
        <v>4236</v>
      </c>
      <c r="C232" s="455"/>
      <c r="D232" s="439" t="b">
        <v>0</v>
      </c>
      <c r="E232" s="10" t="str">
        <f>IF('Table of Contents &amp; Validation'!D44=TRUE,COUNTIF('Table of Contents &amp; Validation'!$D$5:D44,TRUE),"")</f>
        <v/>
      </c>
      <c r="F232" s="443">
        <f>IF('Table of Contents &amp; Validation'!D44=TRUE,1,0)</f>
        <v>0</v>
      </c>
    </row>
    <row r="233" spans="1:6" ht="28.8" x14ac:dyDescent="0.3">
      <c r="A233" s="10"/>
      <c r="B233" s="450" t="s">
        <v>7418</v>
      </c>
      <c r="C233" s="455"/>
      <c r="D233" s="439" t="b">
        <v>0</v>
      </c>
      <c r="E233" s="10" t="str">
        <f>IF('Table of Contents &amp; Validation'!D45=TRUE,COUNTIF('Table of Contents &amp; Validation'!$D$5:D45,TRUE),"")</f>
        <v/>
      </c>
      <c r="F233" s="443">
        <f>IF('Table of Contents &amp; Validation'!D45=TRUE,1,0)</f>
        <v>0</v>
      </c>
    </row>
    <row r="234" spans="1:6" x14ac:dyDescent="0.3">
      <c r="A234" s="10"/>
      <c r="B234" s="447" t="s">
        <v>4249</v>
      </c>
      <c r="C234" s="454"/>
      <c r="D234" s="463"/>
      <c r="E234" s="563" t="str">
        <f>IF('Table of Contents &amp; Validation'!D46=TRUE,COUNTIF('Table of Contents &amp; Validation'!$D$5:D46,TRUE),"")</f>
        <v/>
      </c>
      <c r="F234" s="564"/>
    </row>
    <row r="235" spans="1:6" ht="15" thickBot="1" x14ac:dyDescent="0.35">
      <c r="A235" s="10"/>
      <c r="B235" s="451" t="s">
        <v>4262</v>
      </c>
      <c r="C235" s="457"/>
      <c r="D235" s="441" t="b">
        <v>0</v>
      </c>
      <c r="E235" s="10" t="str">
        <f>IF('Table of Contents &amp; Validation'!D47=TRUE,COUNTIF('Table of Contents &amp; Validation'!$D$5:D47,TRUE),"")</f>
        <v/>
      </c>
      <c r="F235" s="443">
        <f>IF('Table of Contents &amp; Validation'!D47=TRUE,1,0)</f>
        <v>0</v>
      </c>
    </row>
    <row r="236" spans="1:6" ht="18" x14ac:dyDescent="0.35">
      <c r="A236" s="10"/>
      <c r="B236" s="377" t="s">
        <v>3793</v>
      </c>
      <c r="C236" s="456"/>
      <c r="D236" s="464"/>
      <c r="E236" s="563" t="str">
        <f>IF('Table of Contents &amp; Validation'!D48=TRUE,COUNTIF('Table of Contents &amp; Validation'!$D$5:D48,TRUE),"")</f>
        <v/>
      </c>
      <c r="F236" s="564"/>
    </row>
    <row r="237" spans="1:6" x14ac:dyDescent="0.3">
      <c r="A237" s="10"/>
      <c r="B237" s="445" t="s">
        <v>4052</v>
      </c>
      <c r="C237" s="454"/>
      <c r="D237" s="463"/>
      <c r="E237" s="563" t="str">
        <f>IF('Table of Contents &amp; Validation'!D49=TRUE,COUNTIF('Table of Contents &amp; Validation'!$D$5:D49,TRUE),"")</f>
        <v/>
      </c>
      <c r="F237" s="564"/>
    </row>
    <row r="238" spans="1:6" x14ac:dyDescent="0.3">
      <c r="A238" s="10"/>
      <c r="B238" s="449" t="s">
        <v>4280</v>
      </c>
      <c r="C238" s="455"/>
      <c r="D238" s="439" t="b">
        <v>0</v>
      </c>
      <c r="E238" s="10" t="str">
        <f>IF('Table of Contents &amp; Validation'!D50=TRUE,COUNTIF('Table of Contents &amp; Validation'!$D$5:D50,TRUE),"")</f>
        <v/>
      </c>
      <c r="F238" s="443">
        <f>IF('Table of Contents &amp; Validation'!D50=TRUE,1,0)</f>
        <v>0</v>
      </c>
    </row>
    <row r="239" spans="1:6" ht="28.8" x14ac:dyDescent="0.3">
      <c r="A239" s="10"/>
      <c r="B239" s="449" t="s">
        <v>4293</v>
      </c>
      <c r="C239" s="455"/>
      <c r="D239" s="439" t="b">
        <v>0</v>
      </c>
      <c r="E239" s="10" t="str">
        <f>IF('Table of Contents &amp; Validation'!D51=TRUE,COUNTIF('Table of Contents &amp; Validation'!$D$5:D51,TRUE),"")</f>
        <v/>
      </c>
      <c r="F239" s="443">
        <f>IF('Table of Contents &amp; Validation'!D51=TRUE,1,0)</f>
        <v>0</v>
      </c>
    </row>
    <row r="240" spans="1:6" x14ac:dyDescent="0.3">
      <c r="A240" s="10"/>
      <c r="B240" s="447" t="s">
        <v>4119</v>
      </c>
      <c r="C240" s="454"/>
      <c r="D240" s="463"/>
      <c r="E240" s="10" t="str">
        <f>IF('Table of Contents &amp; Validation'!D52=TRUE,COUNTIF('Table of Contents &amp; Validation'!$D$5:D52,TRUE),"")</f>
        <v/>
      </c>
      <c r="F240" s="443">
        <f>IF('Table of Contents &amp; Validation'!D52=TRUE,1,0)</f>
        <v>0</v>
      </c>
    </row>
    <row r="241" spans="1:6" x14ac:dyDescent="0.3">
      <c r="A241" s="10"/>
      <c r="B241" s="446" t="s">
        <v>4306</v>
      </c>
      <c r="C241" s="455"/>
      <c r="D241" s="461" t="b">
        <v>0</v>
      </c>
      <c r="E241" s="10" t="str">
        <f>IF('Table of Contents &amp; Validation'!D53=TRUE,COUNTIF('Table of Contents &amp; Validation'!$D$5:D53,TRUE),"")</f>
        <v/>
      </c>
      <c r="F241" s="443">
        <f>IF('Table of Contents &amp; Validation'!D53=TRUE,1,0)</f>
        <v>0</v>
      </c>
    </row>
    <row r="242" spans="1:6" x14ac:dyDescent="0.3">
      <c r="A242" s="10"/>
      <c r="B242" s="450" t="s">
        <v>5592</v>
      </c>
      <c r="C242" s="455"/>
      <c r="D242" s="439" t="b">
        <v>0</v>
      </c>
      <c r="E242" s="10" t="str">
        <f>IF('Table of Contents &amp; Validation'!D54=TRUE,COUNTIF('Table of Contents &amp; Validation'!$D$5:D54,TRUE),"")</f>
        <v/>
      </c>
      <c r="F242" s="443">
        <f>IF('Table of Contents &amp; Validation'!D54=TRUE,1,0)</f>
        <v>0</v>
      </c>
    </row>
    <row r="243" spans="1:6" ht="28.8" x14ac:dyDescent="0.3">
      <c r="A243" s="10"/>
      <c r="B243" s="450" t="s">
        <v>5991</v>
      </c>
      <c r="C243" s="455"/>
      <c r="D243" s="439" t="b">
        <v>0</v>
      </c>
      <c r="E243" s="10" t="str">
        <f>IF('Table of Contents &amp; Validation'!D55=TRUE,COUNTIF('Table of Contents &amp; Validation'!$D$5:D55,TRUE),"")</f>
        <v/>
      </c>
      <c r="F243" s="443">
        <f>IF('Table of Contents &amp; Validation'!D55=TRUE,1,0)</f>
        <v>0</v>
      </c>
    </row>
    <row r="244" spans="1:6" ht="28.8" x14ac:dyDescent="0.3">
      <c r="A244" s="10"/>
      <c r="B244" s="450" t="s">
        <v>6004</v>
      </c>
      <c r="C244" s="455"/>
      <c r="D244" s="439" t="b">
        <v>0</v>
      </c>
      <c r="E244" s="10" t="str">
        <f>IF('Table of Contents &amp; Validation'!D56=TRUE,COUNTIF('Table of Contents &amp; Validation'!$D$5:D56,TRUE),"")</f>
        <v/>
      </c>
      <c r="F244" s="443">
        <f>IF('Table of Contents &amp; Validation'!D56=TRUE,1,0)</f>
        <v>0</v>
      </c>
    </row>
    <row r="245" spans="1:6" x14ac:dyDescent="0.3">
      <c r="A245" s="10"/>
      <c r="B245" s="449" t="s">
        <v>4319</v>
      </c>
      <c r="C245" s="455"/>
      <c r="D245" s="439" t="b">
        <v>0</v>
      </c>
      <c r="E245" s="10" t="str">
        <f>IF('Table of Contents &amp; Validation'!D57=TRUE,COUNTIF('Table of Contents &amp; Validation'!$D$5:D57,TRUE),"")</f>
        <v/>
      </c>
      <c r="F245" s="443">
        <f>IF('Table of Contents &amp; Validation'!D57=TRUE,1,0)</f>
        <v>0</v>
      </c>
    </row>
    <row r="246" spans="1:6" x14ac:dyDescent="0.3">
      <c r="A246" s="10"/>
      <c r="B246" s="447" t="s">
        <v>4197</v>
      </c>
      <c r="C246" s="454"/>
      <c r="D246" s="463"/>
      <c r="E246" s="563" t="str">
        <f>IF('Table of Contents &amp; Validation'!D58=TRUE,COUNTIF('Table of Contents &amp; Validation'!$D$5:D58,TRUE),"")</f>
        <v/>
      </c>
      <c r="F246" s="564"/>
    </row>
    <row r="247" spans="1:6" x14ac:dyDescent="0.3">
      <c r="A247" s="10"/>
      <c r="B247" s="449" t="s">
        <v>4332</v>
      </c>
      <c r="C247" s="455"/>
      <c r="D247" s="439" t="b">
        <v>0</v>
      </c>
      <c r="E247" s="10" t="str">
        <f>IF('Table of Contents &amp; Validation'!D59=TRUE,COUNTIF('Table of Contents &amp; Validation'!$D$5:D59,TRUE),"")</f>
        <v/>
      </c>
      <c r="F247" s="443">
        <f>IF('Table of Contents &amp; Validation'!D59=TRUE,1,0)</f>
        <v>0</v>
      </c>
    </row>
    <row r="248" spans="1:6" ht="28.8" x14ac:dyDescent="0.3">
      <c r="A248" s="10"/>
      <c r="B248" s="449" t="s">
        <v>4345</v>
      </c>
      <c r="C248" s="455"/>
      <c r="D248" s="439" t="b">
        <v>0</v>
      </c>
      <c r="E248" s="10" t="str">
        <f>IF('Table of Contents &amp; Validation'!D60=TRUE,COUNTIF('Table of Contents &amp; Validation'!$D$5:D60,TRUE),"")</f>
        <v/>
      </c>
      <c r="F248" s="443">
        <f>IF('Table of Contents &amp; Validation'!D60=TRUE,1,0)</f>
        <v>0</v>
      </c>
    </row>
    <row r="249" spans="1:6" x14ac:dyDescent="0.3">
      <c r="A249" s="10"/>
      <c r="B249" s="452" t="s">
        <v>4358</v>
      </c>
      <c r="C249" s="458"/>
      <c r="D249" s="439" t="b">
        <v>0</v>
      </c>
      <c r="E249" s="10" t="str">
        <f>IF('Table of Contents &amp; Validation'!D61=TRUE,COUNTIF('Table of Contents &amp; Validation'!$D$5:D61,TRUE),"")</f>
        <v/>
      </c>
      <c r="F249" s="443">
        <f>IF('Table of Contents &amp; Validation'!D61=TRUE,1,0)</f>
        <v>0</v>
      </c>
    </row>
    <row r="250" spans="1:6" x14ac:dyDescent="0.3">
      <c r="A250" s="10"/>
      <c r="B250" s="448" t="s">
        <v>4249</v>
      </c>
      <c r="C250" s="455"/>
      <c r="D250" s="463"/>
      <c r="E250" s="563" t="str">
        <f>IF('Table of Contents &amp; Validation'!D62=TRUE,COUNTIF('Table of Contents &amp; Validation'!$D$5:D62,TRUE),"")</f>
        <v/>
      </c>
      <c r="F250" s="564"/>
    </row>
    <row r="251" spans="1:6" ht="28.8" x14ac:dyDescent="0.3">
      <c r="A251" s="10"/>
      <c r="B251" s="446" t="s">
        <v>4371</v>
      </c>
      <c r="C251" s="455"/>
      <c r="D251" s="461" t="b">
        <v>0</v>
      </c>
      <c r="E251" s="10" t="str">
        <f>IF('Table of Contents &amp; Validation'!D63=TRUE,COUNTIF('Table of Contents &amp; Validation'!$D$5:D63,TRUE),"")</f>
        <v/>
      </c>
      <c r="F251" s="443">
        <f>IF('Table of Contents &amp; Validation'!D63=TRUE,1,0)</f>
        <v>0</v>
      </c>
    </row>
    <row r="252" spans="1:6" x14ac:dyDescent="0.3">
      <c r="A252" s="10"/>
      <c r="B252" s="450" t="s">
        <v>7802</v>
      </c>
      <c r="C252" s="455"/>
      <c r="D252" s="439" t="b">
        <v>0</v>
      </c>
      <c r="E252" s="10" t="str">
        <f>IF('Table of Contents &amp; Validation'!D64=TRUE,COUNTIF('Table of Contents &amp; Validation'!$D$5:D64,TRUE),"")</f>
        <v/>
      </c>
      <c r="F252" s="443">
        <f>IF('Table of Contents &amp; Validation'!D64=TRUE,1,0)</f>
        <v>0</v>
      </c>
    </row>
    <row r="253" spans="1:6" x14ac:dyDescent="0.3">
      <c r="A253" s="10"/>
      <c r="B253" s="450" t="s">
        <v>7931</v>
      </c>
      <c r="C253" s="455"/>
      <c r="D253" s="439" t="b">
        <v>0</v>
      </c>
      <c r="E253" s="10" t="str">
        <f>IF('Table of Contents &amp; Validation'!D65=TRUE,COUNTIF('Table of Contents &amp; Validation'!$D$5:D65,TRUE),"")</f>
        <v/>
      </c>
      <c r="F253" s="443">
        <f>IF('Table of Contents &amp; Validation'!D65=TRUE,1,0)</f>
        <v>0</v>
      </c>
    </row>
    <row r="254" spans="1:6" ht="15" thickBot="1" x14ac:dyDescent="0.35">
      <c r="A254" s="10"/>
      <c r="B254" s="449" t="s">
        <v>4384</v>
      </c>
      <c r="C254" s="455"/>
      <c r="D254" s="439" t="b">
        <v>0</v>
      </c>
      <c r="E254" s="10" t="str">
        <f>IF('Table of Contents &amp; Validation'!D66=TRUE,COUNTIF('Table of Contents &amp; Validation'!$D$5:D66,TRUE),"")</f>
        <v/>
      </c>
      <c r="F254" s="443">
        <f>IF('Table of Contents &amp; Validation'!D66=TRUE,1,0)</f>
        <v>0</v>
      </c>
    </row>
    <row r="255" spans="1:6" x14ac:dyDescent="0.3">
      <c r="A255" s="10"/>
      <c r="B255" s="453" t="s">
        <v>4397</v>
      </c>
      <c r="C255" s="459"/>
      <c r="D255" s="465"/>
      <c r="E255" s="563" t="str">
        <f>IF('Table of Contents &amp; Validation'!D67=TRUE,COUNTIF('Table of Contents &amp; Validation'!$D$5:D67,TRUE),"")</f>
        <v/>
      </c>
      <c r="F255" s="564"/>
    </row>
    <row r="256" spans="1:6" ht="28.8" x14ac:dyDescent="0.3">
      <c r="A256" s="10"/>
      <c r="B256" s="449" t="s">
        <v>9463</v>
      </c>
      <c r="C256" s="455"/>
      <c r="D256" s="439" t="b">
        <v>0</v>
      </c>
      <c r="E256" s="10" t="str">
        <f>IF('Table of Contents &amp; Validation'!D68=TRUE,COUNTIF('Table of Contents &amp; Validation'!$D$5:D68,TRUE),"")</f>
        <v/>
      </c>
      <c r="F256" s="443">
        <f>IF('Table of Contents &amp; Validation'!D68=TRUE,1,0)</f>
        <v>0</v>
      </c>
    </row>
    <row r="257" spans="1:6" x14ac:dyDescent="0.3">
      <c r="A257" s="10"/>
      <c r="B257" s="449" t="s">
        <v>9464</v>
      </c>
      <c r="C257" s="455"/>
      <c r="D257" s="439" t="b">
        <v>0</v>
      </c>
      <c r="E257" s="10" t="str">
        <f>IF('Table of Contents &amp; Validation'!D69=TRUE,COUNTIF('Table of Contents &amp; Validation'!$D$5:D69,TRUE),"")</f>
        <v/>
      </c>
      <c r="F257" s="443">
        <f>IF('Table of Contents &amp; Validation'!D69=TRUE,1,0)</f>
        <v>0</v>
      </c>
    </row>
    <row r="258" spans="1:6" ht="29.4" thickBot="1" x14ac:dyDescent="0.35">
      <c r="A258" s="10"/>
      <c r="B258" s="451" t="s">
        <v>9465</v>
      </c>
      <c r="C258" s="457"/>
      <c r="D258" s="441" t="b">
        <v>0</v>
      </c>
      <c r="E258" s="562" t="str">
        <f>IF('Table of Contents &amp; Validation'!D70=TRUE,COUNTIF('Table of Contents &amp; Validation'!$D$5:D70,TRUE),"")</f>
        <v/>
      </c>
      <c r="F258" s="444">
        <f>IF('Table of Contents &amp; Validation'!D70=TRUE,1,0)</f>
        <v>0</v>
      </c>
    </row>
    <row r="259" spans="1:6" x14ac:dyDescent="0.3">
      <c r="E259">
        <f>SUM(E193:E258)</f>
        <v>0</v>
      </c>
    </row>
  </sheetData>
  <sheetProtection algorithmName="SHA-512" hashValue="npgErJXkBzMhH8u/lXW02WMg4xwhX39LyAHd13g3I5Jxs6NRHmeSc1skx4iqrncMsVJybYeJb+BE3ZqFK+gfcg==" saltValue="QjaCz/i7qf26QSdzH7VjNg==" spinCount="100000" sheet="1" objects="1" scenarios="1"/>
  <mergeCells count="3">
    <mergeCell ref="B191:B192"/>
    <mergeCell ref="D191:D192"/>
    <mergeCell ref="A17:B19"/>
  </mergeCells>
  <conditionalFormatting sqref="B190:C190">
    <cfRule type="expression" dxfId="31" priority="49">
      <formula>B$139="INCOMPLETE"</formula>
    </cfRule>
    <cfRule type="expression" dxfId="30" priority="50">
      <formula>B$139="COMPLETE"</formula>
    </cfRule>
  </conditionalFormatting>
  <conditionalFormatting sqref="C191">
    <cfRule type="expression" dxfId="29" priority="47">
      <formula>$C$3=template_label_incomplete</formula>
    </cfRule>
    <cfRule type="expression" dxfId="28" priority="48">
      <formula>$C$3=template_label_complete</formula>
    </cfRule>
  </conditionalFormatting>
  <conditionalFormatting sqref="C194:C197 C199:C236 C238:C258">
    <cfRule type="expression" dxfId="27" priority="19">
      <formula>$C194=template_label_classified_or_sensitive_information</formula>
    </cfRule>
    <cfRule type="expression" dxfId="26" priority="38">
      <formula>$C194=template_label_value_inconsistency</formula>
    </cfRule>
    <cfRule type="expression" dxfId="25" priority="39">
      <formula>$C194=template_label_invalid_url</formula>
    </cfRule>
    <cfRule type="expression" dxfId="24" priority="40">
      <formula>$C194=template_label_error_plus_missing_value_plus_value_inconsistency</formula>
    </cfRule>
    <cfRule type="expression" dxfId="23" priority="41">
      <formula>$C194=template_label_error_plus_value_inconsistency</formula>
    </cfRule>
    <cfRule type="expression" dxfId="22" priority="42">
      <formula>$C194=template_label_error_plus_missing_value</formula>
    </cfRule>
    <cfRule type="expression" dxfId="21" priority="43">
      <formula>$C194=template_label_missing_value_plus_value_inconsistency</formula>
    </cfRule>
    <cfRule type="expression" dxfId="20" priority="44">
      <formula>$C194=template_label_missing_value</formula>
    </cfRule>
    <cfRule type="expression" dxfId="19" priority="45">
      <formula>$C194=template_label_error</formula>
    </cfRule>
    <cfRule type="expression" dxfId="18" priority="46">
      <formula>$C194=template_label_ok</formula>
    </cfRule>
  </conditionalFormatting>
  <conditionalFormatting sqref="D197:D198">
    <cfRule type="expression" dxfId="17" priority="20">
      <formula>$C197=template_label_value_inconsistency</formula>
    </cfRule>
    <cfRule type="expression" dxfId="16" priority="21">
      <formula>$C197=template_label_invalid_url</formula>
    </cfRule>
    <cfRule type="expression" dxfId="15" priority="22">
      <formula>$C197=template_label_error_plus_missing_value_plus_value_inconsistency</formula>
    </cfRule>
    <cfRule type="expression" dxfId="14" priority="23">
      <formula>$C197=template_label_error_plus_value_inconsistency</formula>
    </cfRule>
    <cfRule type="expression" dxfId="13" priority="24">
      <formula>$C197=template_label_error_plus_missing_value</formula>
    </cfRule>
    <cfRule type="expression" dxfId="12" priority="25">
      <formula>$C197=template_label_missing_value_plus_value_inconsistency</formula>
    </cfRule>
    <cfRule type="expression" dxfId="11" priority="26">
      <formula>$C197=template_label_missing_value</formula>
    </cfRule>
    <cfRule type="expression" dxfId="10" priority="27">
      <formula>$C197=template_label_error</formula>
    </cfRule>
    <cfRule type="expression" dxfId="9" priority="28">
      <formula>$C197=template_label_ok</formula>
    </cfRule>
  </conditionalFormatting>
  <conditionalFormatting sqref="D207">
    <cfRule type="expression" dxfId="8" priority="1">
      <formula>$C207=template_label_value_inconsistency</formula>
    </cfRule>
    <cfRule type="expression" dxfId="7" priority="2">
      <formula>$C207=template_label_invalid_url</formula>
    </cfRule>
    <cfRule type="expression" dxfId="6" priority="3">
      <formula>$C207=template_label_error_plus_missing_value_plus_value_inconsistency</formula>
    </cfRule>
    <cfRule type="expression" dxfId="5" priority="4">
      <formula>$C207=template_label_error_plus_value_inconsistency</formula>
    </cfRule>
    <cfRule type="expression" dxfId="4" priority="5">
      <formula>$C207=template_label_error_plus_missing_value</formula>
    </cfRule>
    <cfRule type="expression" dxfId="3" priority="6">
      <formula>$C207=template_label_missing_value_plus_value_inconsistency</formula>
    </cfRule>
    <cfRule type="expression" dxfId="2" priority="7">
      <formula>$C207=template_label_missing_value</formula>
    </cfRule>
    <cfRule type="expression" dxfId="1" priority="8">
      <formula>$C207=template_label_error</formula>
    </cfRule>
    <cfRule type="expression" dxfId="0" priority="9">
      <formula>$C207=template_label_ok</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4ACDE-9899-4AC6-B2AE-7D52E6244DE2}">
  <dimension ref="A1:M144"/>
  <sheetViews>
    <sheetView workbookViewId="0"/>
  </sheetViews>
  <sheetFormatPr baseColWidth="10" defaultColWidth="8.88671875" defaultRowHeight="14.4" x14ac:dyDescent="0.3"/>
  <cols>
    <col min="1" max="1" width="168" bestFit="1" customWidth="1"/>
    <col min="2" max="13" width="30.6640625" style="2" customWidth="1"/>
    <col min="14" max="14" width="9.109375" bestFit="1" customWidth="1"/>
  </cols>
  <sheetData>
    <row r="1" spans="1:13" ht="14.4" customHeight="1" thickBot="1" x14ac:dyDescent="0.35">
      <c r="A1" s="21" t="s">
        <v>9466</v>
      </c>
      <c r="B1" s="542" t="s">
        <v>0</v>
      </c>
      <c r="C1" s="535" t="s">
        <v>9467</v>
      </c>
      <c r="D1" s="535" t="s">
        <v>9468</v>
      </c>
      <c r="E1" s="535" t="s">
        <v>9469</v>
      </c>
      <c r="F1" s="535" t="s">
        <v>9470</v>
      </c>
      <c r="G1" s="535" t="s">
        <v>9471</v>
      </c>
      <c r="H1" s="535" t="s">
        <v>9472</v>
      </c>
      <c r="I1" s="535" t="s">
        <v>9473</v>
      </c>
      <c r="J1" s="535" t="s">
        <v>9474</v>
      </c>
      <c r="K1" s="535" t="s">
        <v>9475</v>
      </c>
      <c r="L1" s="535" t="s">
        <v>9476</v>
      </c>
      <c r="M1" s="535" t="s">
        <v>9477</v>
      </c>
    </row>
    <row r="2" spans="1:13" ht="14.4" customHeight="1" x14ac:dyDescent="0.3">
      <c r="A2" s="13" t="str" cm="1">
        <f t="array" ref="A2">_xlfn.IFS(
template_selected_display_language='Footnote (Taxonomy) Labels'!$B$1,'Footnote (Taxonomy) Labels'!$B2,
template_selected_display_language='Footnote (Taxonomy) Labels'!$C$1,'Footnote (Taxonomy) Labels'!$C2,
template_selected_display_language='Footnote (Taxonomy) Labels'!$D$1,'Footnote (Taxonomy) Labels'!$D2,
template_selected_display_language='Footnote (Taxonomy) Labels'!$E$1,'Footnote (Taxonomy) Labels'!$E2,
template_selected_display_language='Footnote (Taxonomy) Labels'!$F$1,'Footnote (Taxonomy) Labels'!$F2,
template_selected_display_language='Footnote (Taxonomy) Labels'!$G$1,'Footnote (Taxonomy) Labels'!$G2,
template_selected_display_language='Footnote (Taxonomy) Labels'!$H$1,'Footnote (Taxonomy) Labels'!$H2,
template_selected_display_language='Footnote (Taxonomy) Labels'!$I$1,'Footnote (Taxonomy) Labels'!$I2,
template_selected_display_language='Footnote (Taxonomy) Labels'!$J$1,'Footnote (Taxonomy) Labels'!$J2,
template_selected_display_language='Footnote (Taxonomy) Labels'!$K$1,'Footnote (Taxonomy) Labels'!$K2,
template_selected_display_language='Footnote (Taxonomy) Labels'!$L$1,'Footnote (Taxonomy) Labels'!$L2,
template_selected_display_language='Footnote (Taxonomy) Labels'!$M$1,'Footnote (Taxonomy) Labels'!$M2
)</f>
        <v>Base de préparation (Module de base uniquement ou Module de base et module complet)</v>
      </c>
      <c r="B2" s="543" t="s">
        <v>4771</v>
      </c>
      <c r="C2" s="536" t="s">
        <v>9478</v>
      </c>
      <c r="D2" s="536" t="s">
        <v>9479</v>
      </c>
      <c r="E2" s="536" t="s">
        <v>9480</v>
      </c>
      <c r="F2" s="536" t="s">
        <v>9481</v>
      </c>
      <c r="G2" s="536" t="s">
        <v>9482</v>
      </c>
      <c r="H2" s="536" t="s">
        <v>9483</v>
      </c>
      <c r="I2" s="536" t="s">
        <v>9484</v>
      </c>
      <c r="J2" s="536" t="s">
        <v>9485</v>
      </c>
      <c r="K2" s="536" t="s">
        <v>9486</v>
      </c>
      <c r="L2" s="536" t="s">
        <v>9487</v>
      </c>
      <c r="M2" s="538" t="s">
        <v>9488</v>
      </c>
    </row>
    <row r="3" spans="1:13" ht="14.4" customHeight="1" x14ac:dyDescent="0.3">
      <c r="A3" s="4" t="str" cm="1">
        <f t="array" ref="A3">_xlfn.IFS(
template_selected_display_language='Footnote (Taxonomy) Labels'!$B$1,'Footnote (Taxonomy) Labels'!$B3,
template_selected_display_language='Footnote (Taxonomy) Labels'!$C$1,'Footnote (Taxonomy) Labels'!$C3,
template_selected_display_language='Footnote (Taxonomy) Labels'!$D$1,'Footnote (Taxonomy) Labels'!$D3,
template_selected_display_language='Footnote (Taxonomy) Labels'!$E$1,'Footnote (Taxonomy) Labels'!$E3,
template_selected_display_language='Footnote (Taxonomy) Labels'!$F$1,'Footnote (Taxonomy) Labels'!$F3,
template_selected_display_language='Footnote (Taxonomy) Labels'!$G$1,'Footnote (Taxonomy) Labels'!$G3,
template_selected_display_language='Footnote (Taxonomy) Labels'!$H$1,'Footnote (Taxonomy) Labels'!$H3,
template_selected_display_language='Footnote (Taxonomy) Labels'!$I$1,'Footnote (Taxonomy) Labels'!$I3,
template_selected_display_language='Footnote (Taxonomy) Labels'!$J$1,'Footnote (Taxonomy) Labels'!$J3,
template_selected_display_language='Footnote (Taxonomy) Labels'!$K$1,'Footnote (Taxonomy) Labels'!$K3,
template_selected_display_language='Footnote (Taxonomy) Labels'!$L$1,'Footnote (Taxonomy) Labels'!$L3,
template_selected_display_language='Footnote (Taxonomy) Labels'!$M$1,'Footnote (Taxonomy) Labels'!$M3
)</f>
        <v>Base de présentation (consolidée ou individuelle)</v>
      </c>
      <c r="B3" s="544" t="s">
        <v>4797</v>
      </c>
      <c r="C3" s="537" t="s">
        <v>9489</v>
      </c>
      <c r="D3" s="537" t="s">
        <v>9490</v>
      </c>
      <c r="E3" s="537" t="s">
        <v>4800</v>
      </c>
      <c r="F3" s="537" t="s">
        <v>4801</v>
      </c>
      <c r="G3" s="537" t="s">
        <v>9491</v>
      </c>
      <c r="H3" s="537" t="s">
        <v>9492</v>
      </c>
      <c r="I3" s="537" t="s">
        <v>4804</v>
      </c>
      <c r="J3" s="537" t="s">
        <v>9493</v>
      </c>
      <c r="K3" s="537" t="s">
        <v>4808</v>
      </c>
      <c r="L3" s="537" t="s">
        <v>9494</v>
      </c>
      <c r="M3" s="539" t="s">
        <v>9495</v>
      </c>
    </row>
    <row r="4" spans="1:13" ht="14.4" customHeight="1" x14ac:dyDescent="0.3">
      <c r="A4" s="4" t="str" cm="1">
        <f t="array" ref="A4">_xlfn.IFS(
template_selected_display_language='Footnote (Taxonomy) Labels'!$B$1,'Footnote (Taxonomy) Labels'!$B4,
template_selected_display_language='Footnote (Taxonomy) Labels'!$C$1,'Footnote (Taxonomy) Labels'!$C4,
template_selected_display_language='Footnote (Taxonomy) Labels'!$D$1,'Footnote (Taxonomy) Labels'!$D4,
template_selected_display_language='Footnote (Taxonomy) Labels'!$E$1,'Footnote (Taxonomy) Labels'!$E4,
template_selected_display_language='Footnote (Taxonomy) Labels'!$F$1,'Footnote (Taxonomy) Labels'!$F4,
template_selected_display_language='Footnote (Taxonomy) Labels'!$G$1,'Footnote (Taxonomy) Labels'!$G4,
template_selected_display_language='Footnote (Taxonomy) Labels'!$H$1,'Footnote (Taxonomy) Labels'!$H4,
template_selected_display_language='Footnote (Taxonomy) Labels'!$I$1,'Footnote (Taxonomy) Labels'!$I4,
template_selected_display_language='Footnote (Taxonomy) Labels'!$J$1,'Footnote (Taxonomy) Labels'!$J4,
template_selected_display_language='Footnote (Taxonomy) Labels'!$K$1,'Footnote (Taxonomy) Labels'!$K4,
template_selected_display_language='Footnote (Taxonomy) Labels'!$L$1,'Footnote (Taxonomy) Labels'!$L4,
template_selected_display_language='Footnote (Taxonomy) Labels'!$M$1,'Footnote (Taxonomy) Labels'!$M4
)</f>
        <v>Ce rapport contient des informations de la période de reporting précédente qui restent inchangées.</v>
      </c>
      <c r="B4" s="544" t="s">
        <v>9496</v>
      </c>
      <c r="C4" s="537" t="s">
        <v>9497</v>
      </c>
      <c r="D4" s="537" t="s">
        <v>9498</v>
      </c>
      <c r="E4" s="537" t="s">
        <v>4709</v>
      </c>
      <c r="F4" s="537" t="s">
        <v>9499</v>
      </c>
      <c r="G4" s="537" t="s">
        <v>9500</v>
      </c>
      <c r="H4" s="537" t="s">
        <v>9501</v>
      </c>
      <c r="I4" s="537" t="s">
        <v>9502</v>
      </c>
      <c r="J4" s="537" t="s">
        <v>9503</v>
      </c>
      <c r="K4" s="537" t="s">
        <v>9504</v>
      </c>
      <c r="L4" s="537" t="s">
        <v>9505</v>
      </c>
      <c r="M4" s="539" t="s">
        <v>9506</v>
      </c>
    </row>
    <row r="5" spans="1:13" ht="14.4" customHeight="1" x14ac:dyDescent="0.3">
      <c r="A5" s="4" t="str" cm="1">
        <f t="array" ref="A5">_xlfn.IFS(
template_selected_display_language='Footnote (Taxonomy) Labels'!$B$1,'Footnote (Taxonomy) Labels'!$B5,
template_selected_display_language='Footnote (Taxonomy) Labels'!$C$1,'Footnote (Taxonomy) Labels'!$C5,
template_selected_display_language='Footnote (Taxonomy) Labels'!$D$1,'Footnote (Taxonomy) Labels'!$D5,
template_selected_display_language='Footnote (Taxonomy) Labels'!$E$1,'Footnote (Taxonomy) Labels'!$E5,
template_selected_display_language='Footnote (Taxonomy) Labels'!$F$1,'Footnote (Taxonomy) Labels'!$F5,
template_selected_display_language='Footnote (Taxonomy) Labels'!$G$1,'Footnote (Taxonomy) Labels'!$G5,
template_selected_display_language='Footnote (Taxonomy) Labels'!$H$1,'Footnote (Taxonomy) Labels'!$H5,
template_selected_display_language='Footnote (Taxonomy) Labels'!$I$1,'Footnote (Taxonomy) Labels'!$I5,
template_selected_display_language='Footnote (Taxonomy) Labels'!$J$1,'Footnote (Taxonomy) Labels'!$J5,
template_selected_display_language='Footnote (Taxonomy) Labels'!$K$1,'Footnote (Taxonomy) Labels'!$K5,
template_selected_display_language='Footnote (Taxonomy) Labels'!$L$1,'Footnote (Taxonomy) Labels'!$L5,
template_selected_display_language='Footnote (Taxonomy) Labels'!$M$1,'Footnote (Taxonomy) Labels'!$M5
)</f>
        <v>Liste des informations pour lesquelles aucun changement n’est signalé par rapport à la déclaration de la période précédente</v>
      </c>
      <c r="B5" s="544" t="s">
        <v>9507</v>
      </c>
      <c r="C5" s="537" t="s">
        <v>9508</v>
      </c>
      <c r="D5" s="537" t="s">
        <v>9509</v>
      </c>
      <c r="E5" s="537" t="s">
        <v>9510</v>
      </c>
      <c r="F5" s="537" t="s">
        <v>4723</v>
      </c>
      <c r="G5" s="537" t="s">
        <v>9511</v>
      </c>
      <c r="H5" s="537" t="s">
        <v>9512</v>
      </c>
      <c r="I5" s="537" t="s">
        <v>9513</v>
      </c>
      <c r="J5" s="537" t="s">
        <v>4727</v>
      </c>
      <c r="K5" s="537" t="s">
        <v>9514</v>
      </c>
      <c r="L5" s="537" t="s">
        <v>9515</v>
      </c>
      <c r="M5" s="539" t="s">
        <v>9516</v>
      </c>
    </row>
    <row r="6" spans="1:13" ht="14.4" customHeight="1" x14ac:dyDescent="0.3">
      <c r="A6" s="4" t="str" cm="1">
        <f t="array" ref="A6">_xlfn.IFS(
template_selected_display_language='Footnote (Taxonomy) Labels'!$B$1,'Footnote (Taxonomy) Labels'!$B6,
template_selected_display_language='Footnote (Taxonomy) Labels'!$C$1,'Footnote (Taxonomy) Labels'!$C6,
template_selected_display_language='Footnote (Taxonomy) Labels'!$D$1,'Footnote (Taxonomy) Labels'!$D6,
template_selected_display_language='Footnote (Taxonomy) Labels'!$E$1,'Footnote (Taxonomy) Labels'!$E6,
template_selected_display_language='Footnote (Taxonomy) Labels'!$F$1,'Footnote (Taxonomy) Labels'!$F6,
template_selected_display_language='Footnote (Taxonomy) Labels'!$G$1,'Footnote (Taxonomy) Labels'!$G6,
template_selected_display_language='Footnote (Taxonomy) Labels'!$H$1,'Footnote (Taxonomy) Labels'!$H6,
template_selected_display_language='Footnote (Taxonomy) Labels'!$I$1,'Footnote (Taxonomy) Labels'!$I6,
template_selected_display_language='Footnote (Taxonomy) Labels'!$J$1,'Footnote (Taxonomy) Labels'!$J6,
template_selected_display_language='Footnote (Taxonomy) Labels'!$K$1,'Footnote (Taxonomy) Labels'!$K6,
template_selected_display_language='Footnote (Taxonomy) Labels'!$L$1,'Footnote (Taxonomy) Labels'!$L6,
template_selected_display_language='Footnote (Taxonomy) Labels'!$M$1,'Footnote (Taxonomy) Labels'!$M6
)</f>
        <v>Lien vers le rapport précédent contenant des informations inchangées</v>
      </c>
      <c r="B6" s="544" t="s">
        <v>4732</v>
      </c>
      <c r="C6" s="537" t="s">
        <v>9517</v>
      </c>
      <c r="D6" s="537" t="s">
        <v>9518</v>
      </c>
      <c r="E6" s="537" t="s">
        <v>4735</v>
      </c>
      <c r="F6" s="537" t="s">
        <v>9519</v>
      </c>
      <c r="G6" s="537" t="s">
        <v>9520</v>
      </c>
      <c r="H6" s="537" t="s">
        <v>4738</v>
      </c>
      <c r="I6" s="537" t="s">
        <v>9521</v>
      </c>
      <c r="J6" s="537" t="s">
        <v>4740</v>
      </c>
      <c r="K6" s="537" t="s">
        <v>4743</v>
      </c>
      <c r="L6" s="537" t="s">
        <v>9522</v>
      </c>
      <c r="M6" s="539" t="s">
        <v>9523</v>
      </c>
    </row>
    <row r="7" spans="1:13" ht="14.4" customHeight="1" x14ac:dyDescent="0.3">
      <c r="A7" s="4" t="str" cm="1">
        <f t="array" ref="A7">_xlfn.IFS(
template_selected_display_language='Footnote (Taxonomy) Labels'!$B$1,'Footnote (Taxonomy) Labels'!$B7,
template_selected_display_language='Footnote (Taxonomy) Labels'!$C$1,'Footnote (Taxonomy) Labels'!$C7,
template_selected_display_language='Footnote (Taxonomy) Labels'!$D$1,'Footnote (Taxonomy) Labels'!$D7,
template_selected_display_language='Footnote (Taxonomy) Labels'!$E$1,'Footnote (Taxonomy) Labels'!$E7,
template_selected_display_language='Footnote (Taxonomy) Labels'!$F$1,'Footnote (Taxonomy) Labels'!$F7,
template_selected_display_language='Footnote (Taxonomy) Labels'!$G$1,'Footnote (Taxonomy) Labels'!$G7,
template_selected_display_language='Footnote (Taxonomy) Labels'!$H$1,'Footnote (Taxonomy) Labels'!$H7,
template_selected_display_language='Footnote (Taxonomy) Labels'!$I$1,'Footnote (Taxonomy) Labels'!$I7,
template_selected_display_language='Footnote (Taxonomy) Labels'!$J$1,'Footnote (Taxonomy) Labels'!$J7,
template_selected_display_language='Footnote (Taxonomy) Labels'!$K$1,'Footnote (Taxonomy) Labels'!$K7,
template_selected_display_language='Footnote (Taxonomy) Labels'!$L$1,'Footnote (Taxonomy) Labels'!$L7,
template_selected_display_language='Footnote (Taxonomy) Labels'!$M$1,'Footnote (Taxonomy) Labels'!$M7
)</f>
        <v>Liste des informations omises jugées comme informations classifiées ou sensibles</v>
      </c>
      <c r="B7" s="544" t="s">
        <v>4784</v>
      </c>
      <c r="C7" s="537" t="s">
        <v>4785</v>
      </c>
      <c r="D7" s="537" t="s">
        <v>9524</v>
      </c>
      <c r="E7" s="537" t="s">
        <v>4787</v>
      </c>
      <c r="F7" s="537" t="s">
        <v>4788</v>
      </c>
      <c r="G7" s="537" t="s">
        <v>4789</v>
      </c>
      <c r="H7" s="537" t="s">
        <v>9525</v>
      </c>
      <c r="I7" s="537" t="s">
        <v>4791</v>
      </c>
      <c r="J7" s="537" t="s">
        <v>9526</v>
      </c>
      <c r="K7" s="537" t="s">
        <v>9527</v>
      </c>
      <c r="L7" s="537" t="s">
        <v>9528</v>
      </c>
      <c r="M7" s="539" t="s">
        <v>9529</v>
      </c>
    </row>
    <row r="8" spans="1:13" ht="14.4" customHeight="1" x14ac:dyDescent="0.3">
      <c r="A8" s="4" t="str" cm="1">
        <f t="array" ref="A8">_xlfn.IFS(
template_selected_display_language='Footnote (Taxonomy) Labels'!$B$1,'Footnote (Taxonomy) Labels'!$B8,
template_selected_display_language='Footnote (Taxonomy) Labels'!$C$1,'Footnote (Taxonomy) Labels'!$C8,
template_selected_display_language='Footnote (Taxonomy) Labels'!$D$1,'Footnote (Taxonomy) Labels'!$D8,
template_selected_display_language='Footnote (Taxonomy) Labels'!$E$1,'Footnote (Taxonomy) Labels'!$E8,
template_selected_display_language='Footnote (Taxonomy) Labels'!$F$1,'Footnote (Taxonomy) Labels'!$F8,
template_selected_display_language='Footnote (Taxonomy) Labels'!$G$1,'Footnote (Taxonomy) Labels'!$G8,
template_selected_display_language='Footnote (Taxonomy) Labels'!$H$1,'Footnote (Taxonomy) Labels'!$H8,
template_selected_display_language='Footnote (Taxonomy) Labels'!$I$1,'Footnote (Taxonomy) Labels'!$I8,
template_selected_display_language='Footnote (Taxonomy) Labels'!$J$1,'Footnote (Taxonomy) Labels'!$J8,
template_selected_display_language='Footnote (Taxonomy) Labels'!$K$1,'Footnote (Taxonomy) Labels'!$K8,
template_selected_display_language='Footnote (Taxonomy) Labels'!$L$1,'Footnote (Taxonomy) Labels'!$L8,
template_selected_display_language='Footnote (Taxonomy) Labels'!$M$1,'Footnote (Taxonomy) Labels'!$M8
)</f>
        <v>Forme juridique des entreprises</v>
      </c>
      <c r="B8" s="544" t="s">
        <v>4810</v>
      </c>
      <c r="C8" s="537" t="s">
        <v>9530</v>
      </c>
      <c r="D8" s="537" t="s">
        <v>9531</v>
      </c>
      <c r="E8" s="537" t="s">
        <v>9532</v>
      </c>
      <c r="F8" s="537" t="s">
        <v>4814</v>
      </c>
      <c r="G8" s="537" t="s">
        <v>9533</v>
      </c>
      <c r="H8" s="537" t="s">
        <v>4816</v>
      </c>
      <c r="I8" s="554"/>
      <c r="J8" s="537" t="s">
        <v>4818</v>
      </c>
      <c r="K8" s="537" t="s">
        <v>9534</v>
      </c>
      <c r="L8" s="537" t="s">
        <v>9535</v>
      </c>
      <c r="M8" s="539" t="s">
        <v>4819</v>
      </c>
    </row>
    <row r="9" spans="1:13" ht="14.4" customHeight="1" x14ac:dyDescent="0.3">
      <c r="A9" s="4" t="str" cm="1">
        <f t="array" ref="A9">_xlfn.IFS(
template_selected_display_language='Footnote (Taxonomy) Labels'!$B$1,'Footnote (Taxonomy) Labels'!$B9,
template_selected_display_language='Footnote (Taxonomy) Labels'!$C$1,'Footnote (Taxonomy) Labels'!$C9,
template_selected_display_language='Footnote (Taxonomy) Labels'!$D$1,'Footnote (Taxonomy) Labels'!$D9,
template_selected_display_language='Footnote (Taxonomy) Labels'!$E$1,'Footnote (Taxonomy) Labels'!$E9,
template_selected_display_language='Footnote (Taxonomy) Labels'!$F$1,'Footnote (Taxonomy) Labels'!$F9,
template_selected_display_language='Footnote (Taxonomy) Labels'!$G$1,'Footnote (Taxonomy) Labels'!$G9,
template_selected_display_language='Footnote (Taxonomy) Labels'!$H$1,'Footnote (Taxonomy) Labels'!$H9,
template_selected_display_language='Footnote (Taxonomy) Labels'!$I$1,'Footnote (Taxonomy) Labels'!$I9,
template_selected_display_language='Footnote (Taxonomy) Labels'!$J$1,'Footnote (Taxonomy) Labels'!$J9,
template_selected_display_language='Footnote (Taxonomy) Labels'!$K$1,'Footnote (Taxonomy) Labels'!$K9,
template_selected_display_language='Footnote (Taxonomy) Labels'!$L$1,'Footnote (Taxonomy) Labels'!$L9,
template_selected_display_language='Footnote (Taxonomy) Labels'!$M$1,'Footnote (Taxonomy) Labels'!$M9
)</f>
        <v>Autre spécification sur la forme juridique de entreprise</v>
      </c>
      <c r="B9" s="544" t="s">
        <v>9536</v>
      </c>
      <c r="C9" s="537" t="s">
        <v>9537</v>
      </c>
      <c r="D9" s="537" t="s">
        <v>9538</v>
      </c>
      <c r="E9" s="537" t="s">
        <v>4826</v>
      </c>
      <c r="F9" s="537" t="s">
        <v>4827</v>
      </c>
      <c r="G9" s="537" t="s">
        <v>9539</v>
      </c>
      <c r="H9" s="537" t="s">
        <v>9540</v>
      </c>
      <c r="I9" s="537" t="s">
        <v>9541</v>
      </c>
      <c r="J9" s="537" t="s">
        <v>9542</v>
      </c>
      <c r="K9" s="537" t="s">
        <v>9543</v>
      </c>
      <c r="L9" s="537" t="s">
        <v>9544</v>
      </c>
      <c r="M9" s="539" t="s">
        <v>9545</v>
      </c>
    </row>
    <row r="10" spans="1:13" ht="14.4" customHeight="1" x14ac:dyDescent="0.3">
      <c r="A10" s="4" t="str" cm="1">
        <f t="array" ref="A10">_xlfn.IFS(
template_selected_display_language='Footnote (Taxonomy) Labels'!$B$1,'Footnote (Taxonomy) Labels'!$B10,
template_selected_display_language='Footnote (Taxonomy) Labels'!$C$1,'Footnote (Taxonomy) Labels'!$C10,
template_selected_display_language='Footnote (Taxonomy) Labels'!$D$1,'Footnote (Taxonomy) Labels'!$D10,
template_selected_display_language='Footnote (Taxonomy) Labels'!$E$1,'Footnote (Taxonomy) Labels'!$E10,
template_selected_display_language='Footnote (Taxonomy) Labels'!$F$1,'Footnote (Taxonomy) Labels'!$F10,
template_selected_display_language='Footnote (Taxonomy) Labels'!$G$1,'Footnote (Taxonomy) Labels'!$G10,
template_selected_display_language='Footnote (Taxonomy) Labels'!$H$1,'Footnote (Taxonomy) Labels'!$H10,
template_selected_display_language='Footnote (Taxonomy) Labels'!$I$1,'Footnote (Taxonomy) Labels'!$I10,
template_selected_display_language='Footnote (Taxonomy) Labels'!$J$1,'Footnote (Taxonomy) Labels'!$J10,
template_selected_display_language='Footnote (Taxonomy) Labels'!$K$1,'Footnote (Taxonomy) Labels'!$K10,
template_selected_display_language='Footnote (Taxonomy) Labels'!$L$1,'Footnote (Taxonomy) Labels'!$L10,
template_selected_display_language='Footnote (Taxonomy) Labels'!$M$1,'Footnote (Taxonomy) Labels'!$M10
)</f>
        <v>Code(s) de la nomenclature sectorielle NACE</v>
      </c>
      <c r="B10" s="544" t="s">
        <v>9546</v>
      </c>
      <c r="C10" s="537" t="s">
        <v>9547</v>
      </c>
      <c r="D10" s="537" t="s">
        <v>9548</v>
      </c>
      <c r="E10" s="537" t="s">
        <v>4839</v>
      </c>
      <c r="F10" s="537" t="s">
        <v>4840</v>
      </c>
      <c r="G10" s="537" t="s">
        <v>9549</v>
      </c>
      <c r="H10" s="537" t="s">
        <v>9550</v>
      </c>
      <c r="I10" s="537" t="s">
        <v>9551</v>
      </c>
      <c r="J10" s="537" t="s">
        <v>9552</v>
      </c>
      <c r="K10" s="537" t="s">
        <v>4847</v>
      </c>
      <c r="L10" s="537" t="s">
        <v>9553</v>
      </c>
      <c r="M10" s="539" t="s">
        <v>9554</v>
      </c>
    </row>
    <row r="11" spans="1:13" ht="14.4" customHeight="1" x14ac:dyDescent="0.3">
      <c r="A11" s="4" t="str" cm="1">
        <f t="array" ref="A11">_xlfn.IFS(
template_selected_display_language='Footnote (Taxonomy) Labels'!$B$1,'Footnote (Taxonomy) Labels'!$B11,
template_selected_display_language='Footnote (Taxonomy) Labels'!$C$1,'Footnote (Taxonomy) Labels'!$C11,
template_selected_display_language='Footnote (Taxonomy) Labels'!$D$1,'Footnote (Taxonomy) Labels'!$D11,
template_selected_display_language='Footnote (Taxonomy) Labels'!$E$1,'Footnote (Taxonomy) Labels'!$E11,
template_selected_display_language='Footnote (Taxonomy) Labels'!$F$1,'Footnote (Taxonomy) Labels'!$F11,
template_selected_display_language='Footnote (Taxonomy) Labels'!$G$1,'Footnote (Taxonomy) Labels'!$G11,
template_selected_display_language='Footnote (Taxonomy) Labels'!$H$1,'Footnote (Taxonomy) Labels'!$H11,
template_selected_display_language='Footnote (Taxonomy) Labels'!$I$1,'Footnote (Taxonomy) Labels'!$I11,
template_selected_display_language='Footnote (Taxonomy) Labels'!$J$1,'Footnote (Taxonomy) Labels'!$J11,
template_selected_display_language='Footnote (Taxonomy) Labels'!$K$1,'Footnote (Taxonomy) Labels'!$K11,
template_selected_display_language='Footnote (Taxonomy) Labels'!$L$1,'Footnote (Taxonomy) Labels'!$L11,
template_selected_display_language='Footnote (Taxonomy) Labels'!$M$1,'Footnote (Taxonomy) Labels'!$M11
)</f>
        <v>Actifs</v>
      </c>
      <c r="B11" s="544" t="s">
        <v>9555</v>
      </c>
      <c r="C11" s="537" t="s">
        <v>9556</v>
      </c>
      <c r="D11" s="537" t="s">
        <v>9557</v>
      </c>
      <c r="E11" s="537" t="s">
        <v>9558</v>
      </c>
      <c r="F11" s="537" t="s">
        <v>9559</v>
      </c>
      <c r="G11" s="537" t="s">
        <v>9560</v>
      </c>
      <c r="H11" s="537" t="s">
        <v>9561</v>
      </c>
      <c r="I11" s="537" t="s">
        <v>9562</v>
      </c>
      <c r="J11" s="537" t="s">
        <v>9563</v>
      </c>
      <c r="K11" s="537" t="s">
        <v>9564</v>
      </c>
      <c r="L11" s="537" t="s">
        <v>9565</v>
      </c>
      <c r="M11" s="539" t="s">
        <v>9566</v>
      </c>
    </row>
    <row r="12" spans="1:13" ht="14.4" customHeight="1" x14ac:dyDescent="0.3">
      <c r="A12" s="4" t="str" cm="1">
        <f t="array" ref="A12">_xlfn.IFS(
template_selected_display_language='Footnote (Taxonomy) Labels'!$B$1,'Footnote (Taxonomy) Labels'!$B12,
template_selected_display_language='Footnote (Taxonomy) Labels'!$C$1,'Footnote (Taxonomy) Labels'!$C12,
template_selected_display_language='Footnote (Taxonomy) Labels'!$D$1,'Footnote (Taxonomy) Labels'!$D12,
template_selected_display_language='Footnote (Taxonomy) Labels'!$E$1,'Footnote (Taxonomy) Labels'!$E12,
template_selected_display_language='Footnote (Taxonomy) Labels'!$F$1,'Footnote (Taxonomy) Labels'!$F12,
template_selected_display_language='Footnote (Taxonomy) Labels'!$G$1,'Footnote (Taxonomy) Labels'!$G12,
template_selected_display_language='Footnote (Taxonomy) Labels'!$H$1,'Footnote (Taxonomy) Labels'!$H12,
template_selected_display_language='Footnote (Taxonomy) Labels'!$I$1,'Footnote (Taxonomy) Labels'!$I12,
template_selected_display_language='Footnote (Taxonomy) Labels'!$J$1,'Footnote (Taxonomy) Labels'!$J12,
template_selected_display_language='Footnote (Taxonomy) Labels'!$K$1,'Footnote (Taxonomy) Labels'!$K12,
template_selected_display_language='Footnote (Taxonomy) Labels'!$L$1,'Footnote (Taxonomy) Labels'!$L12,
template_selected_display_language='Footnote (Taxonomy) Labels'!$M$1,'Footnote (Taxonomy) Labels'!$M12
)</f>
        <v>Chiffre d'affaires</v>
      </c>
      <c r="B12" s="544" t="s">
        <v>9567</v>
      </c>
      <c r="C12" s="537" t="s">
        <v>9568</v>
      </c>
      <c r="D12" s="537" t="s">
        <v>9569</v>
      </c>
      <c r="E12" s="537" t="s">
        <v>9570</v>
      </c>
      <c r="F12" s="537" t="s">
        <v>9571</v>
      </c>
      <c r="G12" s="537" t="s">
        <v>9572</v>
      </c>
      <c r="H12" s="537" t="s">
        <v>4868</v>
      </c>
      <c r="I12" s="537" t="s">
        <v>9573</v>
      </c>
      <c r="J12" s="537" t="s">
        <v>9574</v>
      </c>
      <c r="K12" s="537" t="s">
        <v>9575</v>
      </c>
      <c r="L12" s="537" t="s">
        <v>9576</v>
      </c>
      <c r="M12" s="539" t="s">
        <v>9577</v>
      </c>
    </row>
    <row r="13" spans="1:13" ht="14.4" customHeight="1" x14ac:dyDescent="0.3">
      <c r="A13" s="4" t="str" cm="1">
        <f t="array" ref="A13">_xlfn.IFS(
template_selected_display_language='Footnote (Taxonomy) Labels'!$B$1,'Footnote (Taxonomy) Labels'!$B13,
template_selected_display_language='Footnote (Taxonomy) Labels'!$C$1,'Footnote (Taxonomy) Labels'!$C13,
template_selected_display_language='Footnote (Taxonomy) Labels'!$D$1,'Footnote (Taxonomy) Labels'!$D13,
template_selected_display_language='Footnote (Taxonomy) Labels'!$E$1,'Footnote (Taxonomy) Labels'!$E13,
template_selected_display_language='Footnote (Taxonomy) Labels'!$F$1,'Footnote (Taxonomy) Labels'!$F13,
template_selected_display_language='Footnote (Taxonomy) Labels'!$G$1,'Footnote (Taxonomy) Labels'!$G13,
template_selected_display_language='Footnote (Taxonomy) Labels'!$H$1,'Footnote (Taxonomy) Labels'!$H13,
template_selected_display_language='Footnote (Taxonomy) Labels'!$I$1,'Footnote (Taxonomy) Labels'!$I13,
template_selected_display_language='Footnote (Taxonomy) Labels'!$J$1,'Footnote (Taxonomy) Labels'!$J13,
template_selected_display_language='Footnote (Taxonomy) Labels'!$K$1,'Footnote (Taxonomy) Labels'!$K13,
template_selected_display_language='Footnote (Taxonomy) Labels'!$L$1,'Footnote (Taxonomy) Labels'!$L13,
template_selected_display_language='Footnote (Taxonomy) Labels'!$M$1,'Footnote (Taxonomy) Labels'!$M13
)</f>
        <v>Nombre de salariés</v>
      </c>
      <c r="B13" s="544" t="s">
        <v>4875</v>
      </c>
      <c r="C13" s="537" t="s">
        <v>4876</v>
      </c>
      <c r="D13" s="537" t="s">
        <v>4877</v>
      </c>
      <c r="E13" s="537" t="s">
        <v>4878</v>
      </c>
      <c r="F13" s="537" t="s">
        <v>9578</v>
      </c>
      <c r="G13" s="537" t="s">
        <v>4880</v>
      </c>
      <c r="H13" s="537" t="s">
        <v>4881</v>
      </c>
      <c r="I13" s="537" t="s">
        <v>4882</v>
      </c>
      <c r="J13" s="537" t="s">
        <v>4883</v>
      </c>
      <c r="K13" s="537" t="s">
        <v>9579</v>
      </c>
      <c r="L13" s="537" t="s">
        <v>4885</v>
      </c>
      <c r="M13" s="539" t="s">
        <v>4884</v>
      </c>
    </row>
    <row r="14" spans="1:13" ht="14.4" customHeight="1" x14ac:dyDescent="0.3">
      <c r="A14" s="4" t="str" cm="1">
        <f t="array" ref="A14">_xlfn.IFS(
template_selected_display_language='Footnote (Taxonomy) Labels'!$B$1,'Footnote (Taxonomy) Labels'!$B14,
template_selected_display_language='Footnote (Taxonomy) Labels'!$C$1,'Footnote (Taxonomy) Labels'!$C14,
template_selected_display_language='Footnote (Taxonomy) Labels'!$D$1,'Footnote (Taxonomy) Labels'!$D14,
template_selected_display_language='Footnote (Taxonomy) Labels'!$E$1,'Footnote (Taxonomy) Labels'!$E14,
template_selected_display_language='Footnote (Taxonomy) Labels'!$F$1,'Footnote (Taxonomy) Labels'!$F14,
template_selected_display_language='Footnote (Taxonomy) Labels'!$G$1,'Footnote (Taxonomy) Labels'!$G14,
template_selected_display_language='Footnote (Taxonomy) Labels'!$H$1,'Footnote (Taxonomy) Labels'!$H14,
template_selected_display_language='Footnote (Taxonomy) Labels'!$I$1,'Footnote (Taxonomy) Labels'!$I14,
template_selected_display_language='Footnote (Taxonomy) Labels'!$J$1,'Footnote (Taxonomy) Labels'!$J14,
template_selected_display_language='Footnote (Taxonomy) Labels'!$K$1,'Footnote (Taxonomy) Labels'!$K14,
template_selected_display_language='Footnote (Taxonomy) Labels'!$L$1,'Footnote (Taxonomy) Labels'!$L14,
template_selected_display_language='Footnote (Taxonomy) Labels'!$M$1,'Footnote (Taxonomy) Labels'!$M14
)</f>
        <v>Méthodologie de comptage des effectifs</v>
      </c>
      <c r="B14" s="544" t="s">
        <v>9580</v>
      </c>
      <c r="C14" s="537" t="s">
        <v>9581</v>
      </c>
      <c r="D14" s="537" t="s">
        <v>9582</v>
      </c>
      <c r="E14" s="537" t="s">
        <v>9583</v>
      </c>
      <c r="F14" s="537" t="s">
        <v>9584</v>
      </c>
      <c r="G14" s="537" t="s">
        <v>9585</v>
      </c>
      <c r="H14" s="537" t="s">
        <v>9586</v>
      </c>
      <c r="I14" s="537" t="s">
        <v>9587</v>
      </c>
      <c r="J14" s="537" t="s">
        <v>9588</v>
      </c>
      <c r="K14" s="537" t="s">
        <v>9589</v>
      </c>
      <c r="L14" s="537" t="s">
        <v>9590</v>
      </c>
      <c r="M14" s="539" t="s">
        <v>9591</v>
      </c>
    </row>
    <row r="15" spans="1:13" ht="14.4" customHeight="1" x14ac:dyDescent="0.3">
      <c r="A15" s="4" t="str" cm="1">
        <f t="array" ref="A15">_xlfn.IFS(
template_selected_display_language='Footnote (Taxonomy) Labels'!$B$1,'Footnote (Taxonomy) Labels'!$B15,
template_selected_display_language='Footnote (Taxonomy) Labels'!$C$1,'Footnote (Taxonomy) Labels'!$C15,
template_selected_display_language='Footnote (Taxonomy) Labels'!$D$1,'Footnote (Taxonomy) Labels'!$D15,
template_selected_display_language='Footnote (Taxonomy) Labels'!$E$1,'Footnote (Taxonomy) Labels'!$E15,
template_selected_display_language='Footnote (Taxonomy) Labels'!$F$1,'Footnote (Taxonomy) Labels'!$F15,
template_selected_display_language='Footnote (Taxonomy) Labels'!$G$1,'Footnote (Taxonomy) Labels'!$G15,
template_selected_display_language='Footnote (Taxonomy) Labels'!$H$1,'Footnote (Taxonomy) Labels'!$H15,
template_selected_display_language='Footnote (Taxonomy) Labels'!$I$1,'Footnote (Taxonomy) Labels'!$I15,
template_selected_display_language='Footnote (Taxonomy) Labels'!$J$1,'Footnote (Taxonomy) Labels'!$J15,
template_selected_display_language='Footnote (Taxonomy) Labels'!$K$1,'Footnote (Taxonomy) Labels'!$K15,
template_selected_display_language='Footnote (Taxonomy) Labels'!$L$1,'Footnote (Taxonomy) Labels'!$L15,
template_selected_display_language='Footnote (Taxonomy) Labels'!$M$1,'Footnote (Taxonomy) Labels'!$M15
)</f>
        <v>Type de nombre de salariés</v>
      </c>
      <c r="B15" s="544" t="s">
        <v>9592</v>
      </c>
      <c r="C15" s="537" t="s">
        <v>9593</v>
      </c>
      <c r="D15" s="537" t="s">
        <v>9594</v>
      </c>
      <c r="E15" s="537" t="s">
        <v>9595</v>
      </c>
      <c r="F15" s="537" t="s">
        <v>9596</v>
      </c>
      <c r="G15" s="537" t="s">
        <v>9597</v>
      </c>
      <c r="H15" s="537" t="s">
        <v>9598</v>
      </c>
      <c r="I15" s="537" t="s">
        <v>9599</v>
      </c>
      <c r="J15" s="537" t="s">
        <v>9600</v>
      </c>
      <c r="K15" s="537" t="s">
        <v>9601</v>
      </c>
      <c r="L15" s="537" t="s">
        <v>9602</v>
      </c>
      <c r="M15" s="539" t="s">
        <v>9603</v>
      </c>
    </row>
    <row r="16" spans="1:13" ht="14.4" customHeight="1" x14ac:dyDescent="0.3">
      <c r="A16" s="4" t="str" cm="1">
        <f t="array" ref="A16">_xlfn.IFS(
template_selected_display_language='Footnote (Taxonomy) Labels'!$B$1,'Footnote (Taxonomy) Labels'!$B16,
template_selected_display_language='Footnote (Taxonomy) Labels'!$C$1,'Footnote (Taxonomy) Labels'!$C16,
template_selected_display_language='Footnote (Taxonomy) Labels'!$D$1,'Footnote (Taxonomy) Labels'!$D16,
template_selected_display_language='Footnote (Taxonomy) Labels'!$E$1,'Footnote (Taxonomy) Labels'!$E16,
template_selected_display_language='Footnote (Taxonomy) Labels'!$F$1,'Footnote (Taxonomy) Labels'!$F16,
template_selected_display_language='Footnote (Taxonomy) Labels'!$G$1,'Footnote (Taxonomy) Labels'!$G16,
template_selected_display_language='Footnote (Taxonomy) Labels'!$H$1,'Footnote (Taxonomy) Labels'!$H16,
template_selected_display_language='Footnote (Taxonomy) Labels'!$I$1,'Footnote (Taxonomy) Labels'!$I16,
template_selected_display_language='Footnote (Taxonomy) Labels'!$J$1,'Footnote (Taxonomy) Labels'!$J16,
template_selected_display_language='Footnote (Taxonomy) Labels'!$K$1,'Footnote (Taxonomy) Labels'!$K16,
template_selected_display_language='Footnote (Taxonomy) Labels'!$L$1,'Footnote (Taxonomy) Labels'!$L16,
template_selected_display_language='Footnote (Taxonomy) Labels'!$M$1,'Footnote (Taxonomy) Labels'!$M16
)</f>
        <v>Pays où sont exercées les activités principales et localisation des actifs présentant un intérêt significatif</v>
      </c>
      <c r="B16" s="544" t="s">
        <v>9604</v>
      </c>
      <c r="C16" s="537" t="s">
        <v>4915</v>
      </c>
      <c r="D16" s="537" t="s">
        <v>9605</v>
      </c>
      <c r="E16" s="537" t="s">
        <v>9606</v>
      </c>
      <c r="F16" s="537" t="s">
        <v>4918</v>
      </c>
      <c r="G16" s="537" t="s">
        <v>9607</v>
      </c>
      <c r="H16" s="537" t="s">
        <v>4920</v>
      </c>
      <c r="I16" s="537" t="s">
        <v>9608</v>
      </c>
      <c r="J16" s="537" t="s">
        <v>4922</v>
      </c>
      <c r="K16" s="537" t="s">
        <v>9609</v>
      </c>
      <c r="L16" s="537" t="s">
        <v>9610</v>
      </c>
      <c r="M16" s="539" t="s">
        <v>9611</v>
      </c>
    </row>
    <row r="17" spans="1:13" ht="14.4" customHeight="1" x14ac:dyDescent="0.3">
      <c r="A17" s="4" t="str" cm="1">
        <f t="array" ref="A17">_xlfn.IFS(
template_selected_display_language='Footnote (Taxonomy) Labels'!$B$1,'Footnote (Taxonomy) Labels'!$B17,
template_selected_display_language='Footnote (Taxonomy) Labels'!$C$1,'Footnote (Taxonomy) Labels'!$C17,
template_selected_display_language='Footnote (Taxonomy) Labels'!$D$1,'Footnote (Taxonomy) Labels'!$D17,
template_selected_display_language='Footnote (Taxonomy) Labels'!$E$1,'Footnote (Taxonomy) Labels'!$E17,
template_selected_display_language='Footnote (Taxonomy) Labels'!$F$1,'Footnote (Taxonomy) Labels'!$F17,
template_selected_display_language='Footnote (Taxonomy) Labels'!$G$1,'Footnote (Taxonomy) Labels'!$G17,
template_selected_display_language='Footnote (Taxonomy) Labels'!$H$1,'Footnote (Taxonomy) Labels'!$H17,
template_selected_display_language='Footnote (Taxonomy) Labels'!$I$1,'Footnote (Taxonomy) Labels'!$I17,
template_selected_display_language='Footnote (Taxonomy) Labels'!$J$1,'Footnote (Taxonomy) Labels'!$J17,
template_selected_display_language='Footnote (Taxonomy) Labels'!$K$1,'Footnote (Taxonomy) Labels'!$K17,
template_selected_display_language='Footnote (Taxonomy) Labels'!$L$1,'Footnote (Taxonomy) Labels'!$L17,
template_selected_display_language='Footnote (Taxonomy) Labels'!$M$1,'Footnote (Taxonomy) Labels'!$M17
)</f>
        <v>Description brève de la ou des certification(s) ou label(s) liés à la durabilité</v>
      </c>
      <c r="B17" s="544" t="s">
        <v>9612</v>
      </c>
      <c r="C17" s="537" t="s">
        <v>9613</v>
      </c>
      <c r="D17" s="537" t="s">
        <v>9614</v>
      </c>
      <c r="E17" s="537" t="s">
        <v>9615</v>
      </c>
      <c r="F17" s="537" t="s">
        <v>9616</v>
      </c>
      <c r="G17" s="537" t="s">
        <v>9617</v>
      </c>
      <c r="H17" s="537" t="s">
        <v>9618</v>
      </c>
      <c r="I17" s="537" t="s">
        <v>9619</v>
      </c>
      <c r="J17" s="537" t="s">
        <v>9620</v>
      </c>
      <c r="K17" s="537" t="s">
        <v>9621</v>
      </c>
      <c r="L17" s="537" t="s">
        <v>9622</v>
      </c>
      <c r="M17" s="539" t="s">
        <v>9623</v>
      </c>
    </row>
    <row r="18" spans="1:13" ht="14.4" customHeight="1" x14ac:dyDescent="0.3">
      <c r="A18" s="4" t="str" cm="1">
        <f t="array" ref="A18">_xlfn.IFS(
template_selected_display_language='Footnote (Taxonomy) Labels'!$B$1,'Footnote (Taxonomy) Labels'!$B18,
template_selected_display_language='Footnote (Taxonomy) Labels'!$C$1,'Footnote (Taxonomy) Labels'!$C18,
template_selected_display_language='Footnote (Taxonomy) Labels'!$D$1,'Footnote (Taxonomy) Labels'!$D18,
template_selected_display_language='Footnote (Taxonomy) Labels'!$E$1,'Footnote (Taxonomy) Labels'!$E18,
template_selected_display_language='Footnote (Taxonomy) Labels'!$F$1,'Footnote (Taxonomy) Labels'!$F18,
template_selected_display_language='Footnote (Taxonomy) Labels'!$G$1,'Footnote (Taxonomy) Labels'!$G18,
template_selected_display_language='Footnote (Taxonomy) Labels'!$H$1,'Footnote (Taxonomy) Labels'!$H18,
template_selected_display_language='Footnote (Taxonomy) Labels'!$I$1,'Footnote (Taxonomy) Labels'!$I18,
template_selected_display_language='Footnote (Taxonomy) Labels'!$J$1,'Footnote (Taxonomy) Labels'!$J18,
template_selected_display_language='Footnote (Taxonomy) Labels'!$K$1,'Footnote (Taxonomy) Labels'!$K18,
template_selected_display_language='Footnote (Taxonomy) Labels'!$L$1,'Footnote (Taxonomy) Labels'!$L18,
template_selected_display_language='Footnote (Taxonomy) Labels'!$M$1,'Footnote (Taxonomy) Labels'!$M18
)</f>
        <v>Nom de la filiale</v>
      </c>
      <c r="B18" s="544" t="s">
        <v>9624</v>
      </c>
      <c r="C18" s="537" t="s">
        <v>9625</v>
      </c>
      <c r="D18" s="537" t="s">
        <v>9626</v>
      </c>
      <c r="E18" s="537" t="s">
        <v>9627</v>
      </c>
      <c r="F18" s="537" t="s">
        <v>9628</v>
      </c>
      <c r="G18" s="537" t="s">
        <v>9629</v>
      </c>
      <c r="H18" s="537" t="s">
        <v>9630</v>
      </c>
      <c r="I18" s="537" t="s">
        <v>9631</v>
      </c>
      <c r="J18" s="537" t="s">
        <v>9632</v>
      </c>
      <c r="K18" s="537" t="s">
        <v>9633</v>
      </c>
      <c r="L18" s="537" t="s">
        <v>9634</v>
      </c>
      <c r="M18" s="539" t="s">
        <v>9635</v>
      </c>
    </row>
    <row r="19" spans="1:13" ht="14.4" customHeight="1" x14ac:dyDescent="0.3">
      <c r="A19" s="4" t="str" cm="1">
        <f t="array" ref="A19">_xlfn.IFS(
template_selected_display_language='Footnote (Taxonomy) Labels'!$B$1,'Footnote (Taxonomy) Labels'!$B19,
template_selected_display_language='Footnote (Taxonomy) Labels'!$C$1,'Footnote (Taxonomy) Labels'!$C19,
template_selected_display_language='Footnote (Taxonomy) Labels'!$D$1,'Footnote (Taxonomy) Labels'!$D19,
template_selected_display_language='Footnote (Taxonomy) Labels'!$E$1,'Footnote (Taxonomy) Labels'!$E19,
template_selected_display_language='Footnote (Taxonomy) Labels'!$F$1,'Footnote (Taxonomy) Labels'!$F19,
template_selected_display_language='Footnote (Taxonomy) Labels'!$G$1,'Footnote (Taxonomy) Labels'!$G19,
template_selected_display_language='Footnote (Taxonomy) Labels'!$H$1,'Footnote (Taxonomy) Labels'!$H19,
template_selected_display_language='Footnote (Taxonomy) Labels'!$I$1,'Footnote (Taxonomy) Labels'!$I19,
template_selected_display_language='Footnote (Taxonomy) Labels'!$J$1,'Footnote (Taxonomy) Labels'!$J19,
template_selected_display_language='Footnote (Taxonomy) Labels'!$K$1,'Footnote (Taxonomy) Labels'!$K19,
template_selected_display_language='Footnote (Taxonomy) Labels'!$L$1,'Footnote (Taxonomy) Labels'!$L19,
template_selected_display_language='Footnote (Taxonomy) Labels'!$M$1,'Footnote (Taxonomy) Labels'!$M19
)</f>
        <v>Adresse enregistrée de la filiale</v>
      </c>
      <c r="B19" s="544" t="s">
        <v>9636</v>
      </c>
      <c r="C19" s="537" t="s">
        <v>9637</v>
      </c>
      <c r="D19" s="537" t="s">
        <v>9638</v>
      </c>
      <c r="E19" s="537" t="s">
        <v>9639</v>
      </c>
      <c r="F19" s="537" t="s">
        <v>9640</v>
      </c>
      <c r="G19" s="537" t="s">
        <v>9641</v>
      </c>
      <c r="H19" s="537" t="s">
        <v>9642</v>
      </c>
      <c r="I19" s="537" t="s">
        <v>9643</v>
      </c>
      <c r="J19" s="537" t="s">
        <v>9644</v>
      </c>
      <c r="K19" s="537" t="s">
        <v>9645</v>
      </c>
      <c r="L19" s="537" t="s">
        <v>9646</v>
      </c>
      <c r="M19" s="539" t="s">
        <v>9647</v>
      </c>
    </row>
    <row r="20" spans="1:13" ht="14.4" customHeight="1" x14ac:dyDescent="0.3">
      <c r="A20" s="4" t="str" cm="1">
        <f t="array" ref="A20">_xlfn.IFS(
template_selected_display_language='Footnote (Taxonomy) Labels'!$B$1,'Footnote (Taxonomy) Labels'!$B20,
template_selected_display_language='Footnote (Taxonomy) Labels'!$C$1,'Footnote (Taxonomy) Labels'!$C20,
template_selected_display_language='Footnote (Taxonomy) Labels'!$D$1,'Footnote (Taxonomy) Labels'!$D20,
template_selected_display_language='Footnote (Taxonomy) Labels'!$E$1,'Footnote (Taxonomy) Labels'!$E20,
template_selected_display_language='Footnote (Taxonomy) Labels'!$F$1,'Footnote (Taxonomy) Labels'!$F20,
template_selected_display_language='Footnote (Taxonomy) Labels'!$G$1,'Footnote (Taxonomy) Labels'!$G20,
template_selected_display_language='Footnote (Taxonomy) Labels'!$H$1,'Footnote (Taxonomy) Labels'!$H20,
template_selected_display_language='Footnote (Taxonomy) Labels'!$I$1,'Footnote (Taxonomy) Labels'!$I20,
template_selected_display_language='Footnote (Taxonomy) Labels'!$J$1,'Footnote (Taxonomy) Labels'!$J20,
template_selected_display_language='Footnote (Taxonomy) Labels'!$K$1,'Footnote (Taxonomy) Labels'!$K20,
template_selected_display_language='Footnote (Taxonomy) Labels'!$L$1,'Footnote (Taxonomy) Labels'!$L20,
template_selected_display_language='Footnote (Taxonomy) Labels'!$M$1,'Footnote (Taxonomy) Labels'!$M20
)</f>
        <v>Adresse du site</v>
      </c>
      <c r="B20" s="544" t="s">
        <v>9648</v>
      </c>
      <c r="C20" s="537" t="s">
        <v>9649</v>
      </c>
      <c r="D20" s="537" t="s">
        <v>9650</v>
      </c>
      <c r="E20" s="537" t="s">
        <v>9651</v>
      </c>
      <c r="F20" s="537" t="s">
        <v>9652</v>
      </c>
      <c r="G20" s="537" t="s">
        <v>9653</v>
      </c>
      <c r="H20" s="537" t="s">
        <v>9654</v>
      </c>
      <c r="I20" s="537" t="s">
        <v>9655</v>
      </c>
      <c r="J20" s="537" t="s">
        <v>9656</v>
      </c>
      <c r="K20" s="537" t="s">
        <v>9657</v>
      </c>
      <c r="L20" s="537" t="s">
        <v>9658</v>
      </c>
      <c r="M20" s="539" t="s">
        <v>9659</v>
      </c>
    </row>
    <row r="21" spans="1:13" ht="14.4" customHeight="1" x14ac:dyDescent="0.3">
      <c r="A21" s="4" t="str" cm="1">
        <f t="array" ref="A21">_xlfn.IFS(
template_selected_display_language='Footnote (Taxonomy) Labels'!$B$1,'Footnote (Taxonomy) Labels'!$B21,
template_selected_display_language='Footnote (Taxonomy) Labels'!$C$1,'Footnote (Taxonomy) Labels'!$C21,
template_selected_display_language='Footnote (Taxonomy) Labels'!$D$1,'Footnote (Taxonomy) Labels'!$D21,
template_selected_display_language='Footnote (Taxonomy) Labels'!$E$1,'Footnote (Taxonomy) Labels'!$E21,
template_selected_display_language='Footnote (Taxonomy) Labels'!$F$1,'Footnote (Taxonomy) Labels'!$F21,
template_selected_display_language='Footnote (Taxonomy) Labels'!$G$1,'Footnote (Taxonomy) Labels'!$G21,
template_selected_display_language='Footnote (Taxonomy) Labels'!$H$1,'Footnote (Taxonomy) Labels'!$H21,
template_selected_display_language='Footnote (Taxonomy) Labels'!$I$1,'Footnote (Taxonomy) Labels'!$I21,
template_selected_display_language='Footnote (Taxonomy) Labels'!$J$1,'Footnote (Taxonomy) Labels'!$J21,
template_selected_display_language='Footnote (Taxonomy) Labels'!$K$1,'Footnote (Taxonomy) Labels'!$K21,
template_selected_display_language='Footnote (Taxonomy) Labels'!$L$1,'Footnote (Taxonomy) Labels'!$L21,
template_selected_display_language='Footnote (Taxonomy) Labels'!$M$1,'Footnote (Taxonomy) Labels'!$M21
)</f>
        <v>Code postal du site</v>
      </c>
      <c r="B21" s="544" t="s">
        <v>9660</v>
      </c>
      <c r="C21" s="537" t="s">
        <v>9661</v>
      </c>
      <c r="D21" s="537" t="s">
        <v>9662</v>
      </c>
      <c r="E21" s="537" t="s">
        <v>9663</v>
      </c>
      <c r="F21" s="537" t="s">
        <v>9664</v>
      </c>
      <c r="G21" s="537" t="s">
        <v>9665</v>
      </c>
      <c r="H21" s="537" t="s">
        <v>9666</v>
      </c>
      <c r="I21" s="537" t="s">
        <v>9667</v>
      </c>
      <c r="J21" s="537" t="s">
        <v>9668</v>
      </c>
      <c r="K21" s="537" t="s">
        <v>9669</v>
      </c>
      <c r="L21" s="537" t="s">
        <v>9670</v>
      </c>
      <c r="M21" s="539" t="s">
        <v>9671</v>
      </c>
    </row>
    <row r="22" spans="1:13" ht="14.4" customHeight="1" x14ac:dyDescent="0.3">
      <c r="A22" s="4" t="str" cm="1">
        <f t="array" ref="A22">_xlfn.IFS(
template_selected_display_language='Footnote (Taxonomy) Labels'!$B$1,'Footnote (Taxonomy) Labels'!$B22,
template_selected_display_language='Footnote (Taxonomy) Labels'!$C$1,'Footnote (Taxonomy) Labels'!$C22,
template_selected_display_language='Footnote (Taxonomy) Labels'!$D$1,'Footnote (Taxonomy) Labels'!$D22,
template_selected_display_language='Footnote (Taxonomy) Labels'!$E$1,'Footnote (Taxonomy) Labels'!$E22,
template_selected_display_language='Footnote (Taxonomy) Labels'!$F$1,'Footnote (Taxonomy) Labels'!$F22,
template_selected_display_language='Footnote (Taxonomy) Labels'!$G$1,'Footnote (Taxonomy) Labels'!$G22,
template_selected_display_language='Footnote (Taxonomy) Labels'!$H$1,'Footnote (Taxonomy) Labels'!$H22,
template_selected_display_language='Footnote (Taxonomy) Labels'!$I$1,'Footnote (Taxonomy) Labels'!$I22,
template_selected_display_language='Footnote (Taxonomy) Labels'!$J$1,'Footnote (Taxonomy) Labels'!$J22,
template_selected_display_language='Footnote (Taxonomy) Labels'!$K$1,'Footnote (Taxonomy) Labels'!$K22,
template_selected_display_language='Footnote (Taxonomy) Labels'!$L$1,'Footnote (Taxonomy) Labels'!$L22,
template_selected_display_language='Footnote (Taxonomy) Labels'!$M$1,'Footnote (Taxonomy) Labels'!$M22
)</f>
        <v>Ville du site</v>
      </c>
      <c r="B22" s="544" t="s">
        <v>9672</v>
      </c>
      <c r="C22" s="537" t="s">
        <v>9673</v>
      </c>
      <c r="D22" s="537" t="s">
        <v>9674</v>
      </c>
      <c r="E22" s="537" t="s">
        <v>9675</v>
      </c>
      <c r="F22" s="537" t="s">
        <v>9676</v>
      </c>
      <c r="G22" s="537" t="s">
        <v>9677</v>
      </c>
      <c r="H22" s="537" t="s">
        <v>9678</v>
      </c>
      <c r="I22" s="537" t="s">
        <v>9679</v>
      </c>
      <c r="J22" s="537" t="s">
        <v>9680</v>
      </c>
      <c r="K22" s="537" t="s">
        <v>9681</v>
      </c>
      <c r="L22" s="537" t="s">
        <v>9682</v>
      </c>
      <c r="M22" s="539" t="s">
        <v>9683</v>
      </c>
    </row>
    <row r="23" spans="1:13" ht="14.4" customHeight="1" x14ac:dyDescent="0.3">
      <c r="A23" s="4" t="str" cm="1">
        <f t="array" ref="A23">_xlfn.IFS(
template_selected_display_language='Footnote (Taxonomy) Labels'!$B$1,'Footnote (Taxonomy) Labels'!$B23,
template_selected_display_language='Footnote (Taxonomy) Labels'!$C$1,'Footnote (Taxonomy) Labels'!$C23,
template_selected_display_language='Footnote (Taxonomy) Labels'!$D$1,'Footnote (Taxonomy) Labels'!$D23,
template_selected_display_language='Footnote (Taxonomy) Labels'!$E$1,'Footnote (Taxonomy) Labels'!$E23,
template_selected_display_language='Footnote (Taxonomy) Labels'!$F$1,'Footnote (Taxonomy) Labels'!$F23,
template_selected_display_language='Footnote (Taxonomy) Labels'!$G$1,'Footnote (Taxonomy) Labels'!$G23,
template_selected_display_language='Footnote (Taxonomy) Labels'!$H$1,'Footnote (Taxonomy) Labels'!$H23,
template_selected_display_language='Footnote (Taxonomy) Labels'!$I$1,'Footnote (Taxonomy) Labels'!$I23,
template_selected_display_language='Footnote (Taxonomy) Labels'!$J$1,'Footnote (Taxonomy) Labels'!$J23,
template_selected_display_language='Footnote (Taxonomy) Labels'!$K$1,'Footnote (Taxonomy) Labels'!$K23,
template_selected_display_language='Footnote (Taxonomy) Labels'!$L$1,'Footnote (Taxonomy) Labels'!$L23,
template_selected_display_language='Footnote (Taxonomy) Labels'!$M$1,'Footnote (Taxonomy) Labels'!$M23
)</f>
        <v>Pays du site</v>
      </c>
      <c r="B23" s="544" t="s">
        <v>9684</v>
      </c>
      <c r="C23" s="537" t="s">
        <v>9685</v>
      </c>
      <c r="D23" s="537" t="s">
        <v>9686</v>
      </c>
      <c r="E23" s="537" t="s">
        <v>9687</v>
      </c>
      <c r="F23" s="537" t="s">
        <v>9688</v>
      </c>
      <c r="G23" s="537" t="s">
        <v>9689</v>
      </c>
      <c r="H23" s="537" t="s">
        <v>9690</v>
      </c>
      <c r="I23" s="537" t="s">
        <v>9691</v>
      </c>
      <c r="J23" s="537" t="s">
        <v>9692</v>
      </c>
      <c r="K23" s="537" t="s">
        <v>9693</v>
      </c>
      <c r="L23" s="537" t="s">
        <v>9694</v>
      </c>
      <c r="M23" s="539" t="s">
        <v>9695</v>
      </c>
    </row>
    <row r="24" spans="1:13" ht="14.4" customHeight="1" x14ac:dyDescent="0.3">
      <c r="A24" s="4" t="str" cm="1">
        <f t="array" ref="A24">_xlfn.IFS(
template_selected_display_language='Footnote (Taxonomy) Labels'!$B$1,'Footnote (Taxonomy) Labels'!$B24,
template_selected_display_language='Footnote (Taxonomy) Labels'!$C$1,'Footnote (Taxonomy) Labels'!$C24,
template_selected_display_language='Footnote (Taxonomy) Labels'!$D$1,'Footnote (Taxonomy) Labels'!$D24,
template_selected_display_language='Footnote (Taxonomy) Labels'!$E$1,'Footnote (Taxonomy) Labels'!$E24,
template_selected_display_language='Footnote (Taxonomy) Labels'!$F$1,'Footnote (Taxonomy) Labels'!$F24,
template_selected_display_language='Footnote (Taxonomy) Labels'!$G$1,'Footnote (Taxonomy) Labels'!$G24,
template_selected_display_language='Footnote (Taxonomy) Labels'!$H$1,'Footnote (Taxonomy) Labels'!$H24,
template_selected_display_language='Footnote (Taxonomy) Labels'!$I$1,'Footnote (Taxonomy) Labels'!$I24,
template_selected_display_language='Footnote (Taxonomy) Labels'!$J$1,'Footnote (Taxonomy) Labels'!$J24,
template_selected_display_language='Footnote (Taxonomy) Labels'!$K$1,'Footnote (Taxonomy) Labels'!$K24,
template_selected_display_language='Footnote (Taxonomy) Labels'!$L$1,'Footnote (Taxonomy) Labels'!$L24,
template_selected_display_language='Footnote (Taxonomy) Labels'!$M$1,'Footnote (Taxonomy) Labels'!$M24
)</f>
        <v>Localisation GPS du site</v>
      </c>
      <c r="B24" s="544" t="s">
        <v>9696</v>
      </c>
      <c r="C24" s="537" t="s">
        <v>9697</v>
      </c>
      <c r="D24" s="537" t="s">
        <v>9698</v>
      </c>
      <c r="E24" s="537" t="s">
        <v>9699</v>
      </c>
      <c r="F24" s="537" t="s">
        <v>9700</v>
      </c>
      <c r="G24" s="537" t="s">
        <v>9701</v>
      </c>
      <c r="H24" s="537" t="s">
        <v>9702</v>
      </c>
      <c r="I24" s="537" t="s">
        <v>9703</v>
      </c>
      <c r="J24" s="537" t="s">
        <v>9704</v>
      </c>
      <c r="K24" s="537" t="s">
        <v>9705</v>
      </c>
      <c r="L24" s="537" t="s">
        <v>9706</v>
      </c>
      <c r="M24" s="539" t="s">
        <v>9707</v>
      </c>
    </row>
    <row r="25" spans="1:13" ht="14.4" customHeight="1" x14ac:dyDescent="0.3">
      <c r="A25" s="4" t="str" cm="1">
        <f t="array" ref="A25">_xlfn.IFS(
template_selected_display_language='Footnote (Taxonomy) Labels'!$B$1,'Footnote (Taxonomy) Labels'!$B25,
template_selected_display_language='Footnote (Taxonomy) Labels'!$C$1,'Footnote (Taxonomy) Labels'!$C25,
template_selected_display_language='Footnote (Taxonomy) Labels'!$D$1,'Footnote (Taxonomy) Labels'!$D25,
template_selected_display_language='Footnote (Taxonomy) Labels'!$E$1,'Footnote (Taxonomy) Labels'!$E25,
template_selected_display_language='Footnote (Taxonomy) Labels'!$F$1,'Footnote (Taxonomy) Labels'!$F25,
template_selected_display_language='Footnote (Taxonomy) Labels'!$G$1,'Footnote (Taxonomy) Labels'!$G25,
template_selected_display_language='Footnote (Taxonomy) Labels'!$H$1,'Footnote (Taxonomy) Labels'!$H25,
template_selected_display_language='Footnote (Taxonomy) Labels'!$I$1,'Footnote (Taxonomy) Labels'!$I25,
template_selected_display_language='Footnote (Taxonomy) Labels'!$J$1,'Footnote (Taxonomy) Labels'!$J25,
template_selected_display_language='Footnote (Taxonomy) Labels'!$K$1,'Footnote (Taxonomy) Labels'!$K25,
template_selected_display_language='Footnote (Taxonomy) Labels'!$L$1,'Footnote (Taxonomy) Labels'!$L25,
template_selected_display_language='Footnote (Taxonomy) Labels'!$M$1,'Footnote (Taxonomy) Labels'!$M25
)</f>
        <v>Enjeux de durabilité traités par la pratique, la politique et/ou l'initiative future</v>
      </c>
      <c r="B25" s="544" t="s">
        <v>9708</v>
      </c>
      <c r="C25" s="537" t="s">
        <v>9709</v>
      </c>
      <c r="D25" s="537" t="s">
        <v>9710</v>
      </c>
      <c r="E25" s="537" t="s">
        <v>9711</v>
      </c>
      <c r="F25" s="537" t="s">
        <v>9712</v>
      </c>
      <c r="G25" s="537" t="s">
        <v>9713</v>
      </c>
      <c r="H25" s="537" t="s">
        <v>9714</v>
      </c>
      <c r="I25" s="537" t="s">
        <v>9715</v>
      </c>
      <c r="J25" s="537" t="s">
        <v>9716</v>
      </c>
      <c r="K25" s="537" t="s">
        <v>9717</v>
      </c>
      <c r="L25" s="537" t="s">
        <v>9718</v>
      </c>
      <c r="M25" s="539" t="s">
        <v>9719</v>
      </c>
    </row>
    <row r="26" spans="1:13" ht="14.4" customHeight="1" x14ac:dyDescent="0.3">
      <c r="A26" s="4" t="str" cm="1">
        <f t="array" ref="A26">_xlfn.IFS(
template_selected_display_language='Footnote (Taxonomy) Labels'!$B$1,'Footnote (Taxonomy) Labels'!$B26,
template_selected_display_language='Footnote (Taxonomy) Labels'!$C$1,'Footnote (Taxonomy) Labels'!$C26,
template_selected_display_language='Footnote (Taxonomy) Labels'!$D$1,'Footnote (Taxonomy) Labels'!$D26,
template_selected_display_language='Footnote (Taxonomy) Labels'!$E$1,'Footnote (Taxonomy) Labels'!$E26,
template_selected_display_language='Footnote (Taxonomy) Labels'!$F$1,'Footnote (Taxonomy) Labels'!$F26,
template_selected_display_language='Footnote (Taxonomy) Labels'!$G$1,'Footnote (Taxonomy) Labels'!$G26,
template_selected_display_language='Footnote (Taxonomy) Labels'!$H$1,'Footnote (Taxonomy) Labels'!$H26,
template_selected_display_language='Footnote (Taxonomy) Labels'!$I$1,'Footnote (Taxonomy) Labels'!$I26,
template_selected_display_language='Footnote (Taxonomy) Labels'!$J$1,'Footnote (Taxonomy) Labels'!$J26,
template_selected_display_language='Footnote (Taxonomy) Labels'!$K$1,'Footnote (Taxonomy) Labels'!$K26,
template_selected_display_language='Footnote (Taxonomy) Labels'!$L$1,'Footnote (Taxonomy) Labels'!$L26,
template_selected_display_language='Footnote (Taxonomy) Labels'!$M$1,'Footnote (Taxonomy) Labels'!$M26
)</f>
        <v>La pratique, la politique et/ou l'initiative future sont accessibles au public</v>
      </c>
      <c r="B26" s="544" t="s">
        <v>9720</v>
      </c>
      <c r="C26" s="537" t="s">
        <v>9721</v>
      </c>
      <c r="D26" s="537" t="s">
        <v>9722</v>
      </c>
      <c r="E26" s="537" t="s">
        <v>9723</v>
      </c>
      <c r="F26" s="537" t="s">
        <v>9724</v>
      </c>
      <c r="G26" s="537" t="s">
        <v>9725</v>
      </c>
      <c r="H26" s="537" t="s">
        <v>9726</v>
      </c>
      <c r="I26" s="537" t="s">
        <v>9727</v>
      </c>
      <c r="J26" s="537" t="s">
        <v>9728</v>
      </c>
      <c r="K26" s="537" t="s">
        <v>9729</v>
      </c>
      <c r="L26" s="537" t="s">
        <v>9730</v>
      </c>
      <c r="M26" s="539" t="s">
        <v>9731</v>
      </c>
    </row>
    <row r="27" spans="1:13" ht="14.4" customHeight="1" x14ac:dyDescent="0.3">
      <c r="A27" s="4" t="str" cm="1">
        <f t="array" ref="A27">_xlfn.IFS(
template_selected_display_language='Footnote (Taxonomy) Labels'!$B$1,'Footnote (Taxonomy) Labels'!$B27,
template_selected_display_language='Footnote (Taxonomy) Labels'!$C$1,'Footnote (Taxonomy) Labels'!$C27,
template_selected_display_language='Footnote (Taxonomy) Labels'!$D$1,'Footnote (Taxonomy) Labels'!$D27,
template_selected_display_language='Footnote (Taxonomy) Labels'!$E$1,'Footnote (Taxonomy) Labels'!$E27,
template_selected_display_language='Footnote (Taxonomy) Labels'!$F$1,'Footnote (Taxonomy) Labels'!$F27,
template_selected_display_language='Footnote (Taxonomy) Labels'!$G$1,'Footnote (Taxonomy) Labels'!$G27,
template_selected_display_language='Footnote (Taxonomy) Labels'!$H$1,'Footnote (Taxonomy) Labels'!$H27,
template_selected_display_language='Footnote (Taxonomy) Labels'!$I$1,'Footnote (Taxonomy) Labels'!$I27,
template_selected_display_language='Footnote (Taxonomy) Labels'!$J$1,'Footnote (Taxonomy) Labels'!$J27,
template_selected_display_language='Footnote (Taxonomy) Labels'!$K$1,'Footnote (Taxonomy) Labels'!$K27,
template_selected_display_language='Footnote (Taxonomy) Labels'!$L$1,'Footnote (Taxonomy) Labels'!$L27,
template_selected_display_language='Footnote (Taxonomy) Labels'!$M$1,'Footnote (Taxonomy) Labels'!$M27
)</f>
        <v>L'entreprise a fixé une cible qui est liée à une politique</v>
      </c>
      <c r="B27" s="544" t="s">
        <v>5143</v>
      </c>
      <c r="C27" s="537" t="s">
        <v>9732</v>
      </c>
      <c r="D27" s="537" t="s">
        <v>9733</v>
      </c>
      <c r="E27" s="537" t="s">
        <v>9734</v>
      </c>
      <c r="F27" s="537" t="s">
        <v>9735</v>
      </c>
      <c r="G27" s="537" t="s">
        <v>9736</v>
      </c>
      <c r="H27" s="537" t="s">
        <v>9737</v>
      </c>
      <c r="I27" s="537" t="s">
        <v>9738</v>
      </c>
      <c r="J27" s="537" t="s">
        <v>9739</v>
      </c>
      <c r="K27" s="537" t="s">
        <v>9740</v>
      </c>
      <c r="L27" s="537" t="s">
        <v>9741</v>
      </c>
      <c r="M27" s="539" t="s">
        <v>9742</v>
      </c>
    </row>
    <row r="28" spans="1:13" ht="14.4" customHeight="1" x14ac:dyDescent="0.3">
      <c r="A28" s="4" t="str" cm="1">
        <f t="array" ref="A28">_xlfn.IFS(
template_selected_display_language='Footnote (Taxonomy) Labels'!$B$1,'Footnote (Taxonomy) Labels'!$B28,
template_selected_display_language='Footnote (Taxonomy) Labels'!$C$1,'Footnote (Taxonomy) Labels'!$C28,
template_selected_display_language='Footnote (Taxonomy) Labels'!$D$1,'Footnote (Taxonomy) Labels'!$D28,
template_selected_display_language='Footnote (Taxonomy) Labels'!$E$1,'Footnote (Taxonomy) Labels'!$E28,
template_selected_display_language='Footnote (Taxonomy) Labels'!$F$1,'Footnote (Taxonomy) Labels'!$F28,
template_selected_display_language='Footnote (Taxonomy) Labels'!$G$1,'Footnote (Taxonomy) Labels'!$G28,
template_selected_display_language='Footnote (Taxonomy) Labels'!$H$1,'Footnote (Taxonomy) Labels'!$H28,
template_selected_display_language='Footnote (Taxonomy) Labels'!$I$1,'Footnote (Taxonomy) Labels'!$I28,
template_selected_display_language='Footnote (Taxonomy) Labels'!$J$1,'Footnote (Taxonomy) Labels'!$J28,
template_selected_display_language='Footnote (Taxonomy) Labels'!$K$1,'Footnote (Taxonomy) Labels'!$K28,
template_selected_display_language='Footnote (Taxonomy) Labels'!$L$1,'Footnote (Taxonomy) Labels'!$L28,
template_selected_display_language='Footnote (Taxonomy) Labels'!$M$1,'Footnote (Taxonomy) Labels'!$M28
)</f>
        <v>Description de la participation effective des travailleurs, des utilisateurs ou d'autres parties ou communautés intéressées à la gouvernance</v>
      </c>
      <c r="B28" s="544" t="s">
        <v>9743</v>
      </c>
      <c r="C28" s="537" t="s">
        <v>9744</v>
      </c>
      <c r="D28" s="537" t="s">
        <v>9745</v>
      </c>
      <c r="E28" s="537" t="s">
        <v>9746</v>
      </c>
      <c r="F28" s="537" t="s">
        <v>9747</v>
      </c>
      <c r="G28" s="537" t="s">
        <v>9748</v>
      </c>
      <c r="H28" s="537" t="s">
        <v>9749</v>
      </c>
      <c r="I28" s="537" t="s">
        <v>9750</v>
      </c>
      <c r="J28" s="537" t="s">
        <v>9751</v>
      </c>
      <c r="K28" s="537" t="s">
        <v>9752</v>
      </c>
      <c r="L28" s="537" t="s">
        <v>9753</v>
      </c>
      <c r="M28" s="539" t="s">
        <v>9754</v>
      </c>
    </row>
    <row r="29" spans="1:13" ht="14.4" customHeight="1" x14ac:dyDescent="0.3">
      <c r="A29" s="4" t="str" cm="1">
        <f t="array" ref="A29">_xlfn.IFS(
template_selected_display_language='Footnote (Taxonomy) Labels'!$B$1,'Footnote (Taxonomy) Labels'!$B29,
template_selected_display_language='Footnote (Taxonomy) Labels'!$C$1,'Footnote (Taxonomy) Labels'!$C29,
template_selected_display_language='Footnote (Taxonomy) Labels'!$D$1,'Footnote (Taxonomy) Labels'!$D29,
template_selected_display_language='Footnote (Taxonomy) Labels'!$E$1,'Footnote (Taxonomy) Labels'!$E29,
template_selected_display_language='Footnote (Taxonomy) Labels'!$F$1,'Footnote (Taxonomy) Labels'!$F29,
template_selected_display_language='Footnote (Taxonomy) Labels'!$G$1,'Footnote (Taxonomy) Labels'!$G29,
template_selected_display_language='Footnote (Taxonomy) Labels'!$H$1,'Footnote (Taxonomy) Labels'!$H29,
template_selected_display_language='Footnote (Taxonomy) Labels'!$I$1,'Footnote (Taxonomy) Labels'!$I29,
template_selected_display_language='Footnote (Taxonomy) Labels'!$J$1,'Footnote (Taxonomy) Labels'!$J29,
template_selected_display_language='Footnote (Taxonomy) Labels'!$K$1,'Footnote (Taxonomy) Labels'!$K29,
template_selected_display_language='Footnote (Taxonomy) Labels'!$L$1,'Footnote (Taxonomy) Labels'!$L29,
template_selected_display_language='Footnote (Taxonomy) Labels'!$M$1,'Footnote (Taxonomy) Labels'!$M29
)</f>
        <v>Investissements financiers dans le capital ou les actifs des entités de l’économie sociale</v>
      </c>
      <c r="B29" s="544" t="s">
        <v>9755</v>
      </c>
      <c r="C29" s="537" t="s">
        <v>9756</v>
      </c>
      <c r="D29" s="537" t="s">
        <v>9757</v>
      </c>
      <c r="E29" s="537" t="s">
        <v>9758</v>
      </c>
      <c r="F29" s="537" t="s">
        <v>9759</v>
      </c>
      <c r="G29" s="537" t="s">
        <v>9760</v>
      </c>
      <c r="H29" s="537" t="s">
        <v>9761</v>
      </c>
      <c r="I29" s="555"/>
      <c r="J29" s="537" t="s">
        <v>9762</v>
      </c>
      <c r="K29" s="537" t="s">
        <v>9763</v>
      </c>
      <c r="L29" s="537" t="s">
        <v>9764</v>
      </c>
      <c r="M29" s="539" t="s">
        <v>9765</v>
      </c>
    </row>
    <row r="30" spans="1:13" ht="14.4" customHeight="1" x14ac:dyDescent="0.3">
      <c r="A30" s="4" t="str" cm="1">
        <f t="array" ref="A30">_xlfn.IFS(
template_selected_display_language='Footnote (Taxonomy) Labels'!$B$1,'Footnote (Taxonomy) Labels'!$B30,
template_selected_display_language='Footnote (Taxonomy) Labels'!$C$1,'Footnote (Taxonomy) Labels'!$C30,
template_selected_display_language='Footnote (Taxonomy) Labels'!$D$1,'Footnote (Taxonomy) Labels'!$D30,
template_selected_display_language='Footnote (Taxonomy) Labels'!$E$1,'Footnote (Taxonomy) Labels'!$E30,
template_selected_display_language='Footnote (Taxonomy) Labels'!$F$1,'Footnote (Taxonomy) Labels'!$F30,
template_selected_display_language='Footnote (Taxonomy) Labels'!$G$1,'Footnote (Taxonomy) Labels'!$G30,
template_selected_display_language='Footnote (Taxonomy) Labels'!$H$1,'Footnote (Taxonomy) Labels'!$H30,
template_selected_display_language='Footnote (Taxonomy) Labels'!$I$1,'Footnote (Taxonomy) Labels'!$I30,
template_selected_display_language='Footnote (Taxonomy) Labels'!$J$1,'Footnote (Taxonomy) Labels'!$J30,
template_selected_display_language='Footnote (Taxonomy) Labels'!$K$1,'Footnote (Taxonomy) Labels'!$K30,
template_selected_display_language='Footnote (Taxonomy) Labels'!$L$1,'Footnote (Taxonomy) Labels'!$L30,
template_selected_display_language='Footnote (Taxonomy) Labels'!$M$1,'Footnote (Taxonomy) Labels'!$M30
)</f>
        <v>Description des limites à la distribution des bénéfices liées à la nature mutualiste ou à la nature des activités consistant en des services d’intérêt économique général (SIEG)</v>
      </c>
      <c r="B30" s="544" t="s">
        <v>9766</v>
      </c>
      <c r="C30" s="537" t="s">
        <v>9767</v>
      </c>
      <c r="D30" s="537" t="s">
        <v>9768</v>
      </c>
      <c r="E30" s="537" t="s">
        <v>9769</v>
      </c>
      <c r="F30" s="537" t="s">
        <v>9770</v>
      </c>
      <c r="G30" s="537" t="s">
        <v>9771</v>
      </c>
      <c r="H30" s="537" t="s">
        <v>9772</v>
      </c>
      <c r="I30" s="537" t="s">
        <v>9773</v>
      </c>
      <c r="J30" s="537" t="s">
        <v>9774</v>
      </c>
      <c r="K30" s="537" t="s">
        <v>9775</v>
      </c>
      <c r="L30" s="537" t="s">
        <v>9776</v>
      </c>
      <c r="M30" s="539" t="s">
        <v>9777</v>
      </c>
    </row>
    <row r="31" spans="1:13" ht="14.4" customHeight="1" x14ac:dyDescent="0.3">
      <c r="A31" s="4" t="str" cm="1">
        <f t="array" ref="A31">_xlfn.IFS(
template_selected_display_language='Footnote (Taxonomy) Labels'!$B$1,'Footnote (Taxonomy) Labels'!$B31,
template_selected_display_language='Footnote (Taxonomy) Labels'!$C$1,'Footnote (Taxonomy) Labels'!$C31,
template_selected_display_language='Footnote (Taxonomy) Labels'!$D$1,'Footnote (Taxonomy) Labels'!$D31,
template_selected_display_language='Footnote (Taxonomy) Labels'!$E$1,'Footnote (Taxonomy) Labels'!$E31,
template_selected_display_language='Footnote (Taxonomy) Labels'!$F$1,'Footnote (Taxonomy) Labels'!$F31,
template_selected_display_language='Footnote (Taxonomy) Labels'!$G$1,'Footnote (Taxonomy) Labels'!$G31,
template_selected_display_language='Footnote (Taxonomy) Labels'!$H$1,'Footnote (Taxonomy) Labels'!$H31,
template_selected_display_language='Footnote (Taxonomy) Labels'!$I$1,'Footnote (Taxonomy) Labels'!$I31,
template_selected_display_language='Footnote (Taxonomy) Labels'!$J$1,'Footnote (Taxonomy) Labels'!$J31,
template_selected_display_language='Footnote (Taxonomy) Labels'!$K$1,'Footnote (Taxonomy) Labels'!$K31,
template_selected_display_language='Footnote (Taxonomy) Labels'!$L$1,'Footnote (Taxonomy) Labels'!$L31,
template_selected_display_language='Footnote (Taxonomy) Labels'!$M$1,'Footnote (Taxonomy) Labels'!$M31
)</f>
        <v>Consommation totale d'énergie</v>
      </c>
      <c r="B31" s="544" t="s">
        <v>9778</v>
      </c>
      <c r="C31" s="537" t="s">
        <v>5465</v>
      </c>
      <c r="D31" s="537" t="s">
        <v>9779</v>
      </c>
      <c r="E31" s="537" t="s">
        <v>9780</v>
      </c>
      <c r="F31" s="537" t="s">
        <v>5468</v>
      </c>
      <c r="G31" s="537" t="s">
        <v>9781</v>
      </c>
      <c r="H31" s="537" t="s">
        <v>9782</v>
      </c>
      <c r="I31" s="537" t="s">
        <v>5471</v>
      </c>
      <c r="J31" s="537" t="s">
        <v>5472</v>
      </c>
      <c r="K31" s="537" t="s">
        <v>9783</v>
      </c>
      <c r="L31" s="537" t="s">
        <v>5474</v>
      </c>
      <c r="M31" s="539" t="s">
        <v>5473</v>
      </c>
    </row>
    <row r="32" spans="1:13" ht="14.4" customHeight="1" x14ac:dyDescent="0.3">
      <c r="A32" s="4" t="str" cm="1">
        <f t="array" ref="A32">_xlfn.IFS(
template_selected_display_language='Footnote (Taxonomy) Labels'!$B$1,'Footnote (Taxonomy) Labels'!$B32,
template_selected_display_language='Footnote (Taxonomy) Labels'!$C$1,'Footnote (Taxonomy) Labels'!$C32,
template_selected_display_language='Footnote (Taxonomy) Labels'!$D$1,'Footnote (Taxonomy) Labels'!$D32,
template_selected_display_language='Footnote (Taxonomy) Labels'!$E$1,'Footnote (Taxonomy) Labels'!$E32,
template_selected_display_language='Footnote (Taxonomy) Labels'!$F$1,'Footnote (Taxonomy) Labels'!$F32,
template_selected_display_language='Footnote (Taxonomy) Labels'!$G$1,'Footnote (Taxonomy) Labels'!$G32,
template_selected_display_language='Footnote (Taxonomy) Labels'!$H$1,'Footnote (Taxonomy) Labels'!$H32,
template_selected_display_language='Footnote (Taxonomy) Labels'!$I$1,'Footnote (Taxonomy) Labels'!$I32,
template_selected_display_language='Footnote (Taxonomy) Labels'!$J$1,'Footnote (Taxonomy) Labels'!$J32,
template_selected_display_language='Footnote (Taxonomy) Labels'!$K$1,'Footnote (Taxonomy) Labels'!$K32,
template_selected_display_language='Footnote (Taxonomy) Labels'!$L$1,'Footnote (Taxonomy) Labels'!$L32,
template_selected_display_language='Footnote (Taxonomy) Labels'!$M$1,'Footnote (Taxonomy) Labels'!$M32
)</f>
        <v>Consommation d'énergie provenant de l'électricité</v>
      </c>
      <c r="B32" s="544" t="s">
        <v>9784</v>
      </c>
      <c r="C32" s="537" t="s">
        <v>9785</v>
      </c>
      <c r="D32" s="537" t="s">
        <v>9786</v>
      </c>
      <c r="E32" s="537" t="s">
        <v>9787</v>
      </c>
      <c r="F32" s="537" t="s">
        <v>9788</v>
      </c>
      <c r="G32" s="537" t="s">
        <v>9789</v>
      </c>
      <c r="H32" s="537" t="s">
        <v>9790</v>
      </c>
      <c r="I32" s="537" t="s">
        <v>9791</v>
      </c>
      <c r="J32" s="537" t="s">
        <v>9792</v>
      </c>
      <c r="K32" s="537" t="s">
        <v>9793</v>
      </c>
      <c r="L32" s="537" t="s">
        <v>9794</v>
      </c>
      <c r="M32" s="539" t="s">
        <v>9795</v>
      </c>
    </row>
    <row r="33" spans="1:13" ht="14.4" customHeight="1" x14ac:dyDescent="0.3">
      <c r="A33" s="4" t="str" cm="1">
        <f t="array" ref="A33">_xlfn.IFS(
template_selected_display_language='Footnote (Taxonomy) Labels'!$B$1,'Footnote (Taxonomy) Labels'!$B33,
template_selected_display_language='Footnote (Taxonomy) Labels'!$C$1,'Footnote (Taxonomy) Labels'!$C33,
template_selected_display_language='Footnote (Taxonomy) Labels'!$D$1,'Footnote (Taxonomy) Labels'!$D33,
template_selected_display_language='Footnote (Taxonomy) Labels'!$E$1,'Footnote (Taxonomy) Labels'!$E33,
template_selected_display_language='Footnote (Taxonomy) Labels'!$F$1,'Footnote (Taxonomy) Labels'!$F33,
template_selected_display_language='Footnote (Taxonomy) Labels'!$G$1,'Footnote (Taxonomy) Labels'!$G33,
template_selected_display_language='Footnote (Taxonomy) Labels'!$H$1,'Footnote (Taxonomy) Labels'!$H33,
template_selected_display_language='Footnote (Taxonomy) Labels'!$I$1,'Footnote (Taxonomy) Labels'!$I33,
template_selected_display_language='Footnote (Taxonomy) Labels'!$J$1,'Footnote (Taxonomy) Labels'!$J33,
template_selected_display_language='Footnote (Taxonomy) Labels'!$K$1,'Footnote (Taxonomy) Labels'!$K33,
template_selected_display_language='Footnote (Taxonomy) Labels'!$L$1,'Footnote (Taxonomy) Labels'!$L33,
template_selected_display_language='Footnote (Taxonomy) Labels'!$M$1,'Footnote (Taxonomy) Labels'!$M33
)</f>
        <v>Consommation d'énergie provenant de l'électricité auto-produite</v>
      </c>
      <c r="B33" s="544" t="s">
        <v>9796</v>
      </c>
      <c r="C33" s="537" t="s">
        <v>9797</v>
      </c>
      <c r="D33" s="537" t="s">
        <v>9798</v>
      </c>
      <c r="E33" s="537" t="s">
        <v>9799</v>
      </c>
      <c r="F33" s="537" t="s">
        <v>9800</v>
      </c>
      <c r="G33" s="537" t="s">
        <v>9801</v>
      </c>
      <c r="H33" s="537" t="s">
        <v>9802</v>
      </c>
      <c r="I33" s="537" t="s">
        <v>9803</v>
      </c>
      <c r="J33" s="537" t="s">
        <v>9804</v>
      </c>
      <c r="K33" s="537" t="s">
        <v>9805</v>
      </c>
      <c r="L33" s="537" t="s">
        <v>9806</v>
      </c>
      <c r="M33" s="539" t="s">
        <v>9807</v>
      </c>
    </row>
    <row r="34" spans="1:13" ht="14.4" customHeight="1" x14ac:dyDescent="0.3">
      <c r="A34" s="4" t="str" cm="1">
        <f t="array" ref="A34">_xlfn.IFS(
template_selected_display_language='Footnote (Taxonomy) Labels'!$B$1,'Footnote (Taxonomy) Labels'!$B34,
template_selected_display_language='Footnote (Taxonomy) Labels'!$C$1,'Footnote (Taxonomy) Labels'!$C34,
template_selected_display_language='Footnote (Taxonomy) Labels'!$D$1,'Footnote (Taxonomy) Labels'!$D34,
template_selected_display_language='Footnote (Taxonomy) Labels'!$E$1,'Footnote (Taxonomy) Labels'!$E34,
template_selected_display_language='Footnote (Taxonomy) Labels'!$F$1,'Footnote (Taxonomy) Labels'!$F34,
template_selected_display_language='Footnote (Taxonomy) Labels'!$G$1,'Footnote (Taxonomy) Labels'!$G34,
template_selected_display_language='Footnote (Taxonomy) Labels'!$H$1,'Footnote (Taxonomy) Labels'!$H34,
template_selected_display_language='Footnote (Taxonomy) Labels'!$I$1,'Footnote (Taxonomy) Labels'!$I34,
template_selected_display_language='Footnote (Taxonomy) Labels'!$J$1,'Footnote (Taxonomy) Labels'!$J34,
template_selected_display_language='Footnote (Taxonomy) Labels'!$K$1,'Footnote (Taxonomy) Labels'!$K34,
template_selected_display_language='Footnote (Taxonomy) Labels'!$L$1,'Footnote (Taxonomy) Labels'!$L34,
template_selected_display_language='Footnote (Taxonomy) Labels'!$M$1,'Footnote (Taxonomy) Labels'!$M34
)</f>
        <v>Consommation d'énergie provenant des combustibles</v>
      </c>
      <c r="B34" s="544" t="s">
        <v>9808</v>
      </c>
      <c r="C34" s="537" t="s">
        <v>9809</v>
      </c>
      <c r="D34" s="537" t="s">
        <v>9810</v>
      </c>
      <c r="E34" s="537" t="s">
        <v>9811</v>
      </c>
      <c r="F34" s="537" t="s">
        <v>9812</v>
      </c>
      <c r="G34" s="537" t="s">
        <v>9813</v>
      </c>
      <c r="H34" s="537" t="s">
        <v>9814</v>
      </c>
      <c r="I34" s="537" t="s">
        <v>9815</v>
      </c>
      <c r="J34" s="537" t="s">
        <v>9816</v>
      </c>
      <c r="K34" s="537" t="s">
        <v>9817</v>
      </c>
      <c r="L34" s="537" t="s">
        <v>9818</v>
      </c>
      <c r="M34" s="539" t="s">
        <v>9819</v>
      </c>
    </row>
    <row r="35" spans="1:13" ht="14.4" customHeight="1" x14ac:dyDescent="0.3">
      <c r="A35" s="4" t="str" cm="1">
        <f t="array" ref="A35">_xlfn.IFS(
template_selected_display_language='Footnote (Taxonomy) Labels'!$B$1,'Footnote (Taxonomy) Labels'!$B35,
template_selected_display_language='Footnote (Taxonomy) Labels'!$C$1,'Footnote (Taxonomy) Labels'!$C35,
template_selected_display_language='Footnote (Taxonomy) Labels'!$D$1,'Footnote (Taxonomy) Labels'!$D35,
template_selected_display_language='Footnote (Taxonomy) Labels'!$E$1,'Footnote (Taxonomy) Labels'!$E35,
template_selected_display_language='Footnote (Taxonomy) Labels'!$F$1,'Footnote (Taxonomy) Labels'!$F35,
template_selected_display_language='Footnote (Taxonomy) Labels'!$G$1,'Footnote (Taxonomy) Labels'!$G35,
template_selected_display_language='Footnote (Taxonomy) Labels'!$H$1,'Footnote (Taxonomy) Labels'!$H35,
template_selected_display_language='Footnote (Taxonomy) Labels'!$I$1,'Footnote (Taxonomy) Labels'!$I35,
template_selected_display_language='Footnote (Taxonomy) Labels'!$J$1,'Footnote (Taxonomy) Labels'!$J35,
template_selected_display_language='Footnote (Taxonomy) Labels'!$K$1,'Footnote (Taxonomy) Labels'!$K35,
template_selected_display_language='Footnote (Taxonomy) Labels'!$L$1,'Footnote (Taxonomy) Labels'!$L35,
template_selected_display_language='Footnote (Taxonomy) Labels'!$M$1,'Footnote (Taxonomy) Labels'!$M35
)</f>
        <v>Émissions brutes des émissions de gaz à effet de serre du scope 1</v>
      </c>
      <c r="B35" s="544" t="s">
        <v>9820</v>
      </c>
      <c r="C35" s="537" t="s">
        <v>9821</v>
      </c>
      <c r="D35" s="537" t="s">
        <v>9822</v>
      </c>
      <c r="E35" s="537" t="s">
        <v>9823</v>
      </c>
      <c r="F35" s="537" t="s">
        <v>5687</v>
      </c>
      <c r="G35" s="537" t="s">
        <v>9824</v>
      </c>
      <c r="H35" s="537" t="s">
        <v>5689</v>
      </c>
      <c r="I35" s="537" t="s">
        <v>9825</v>
      </c>
      <c r="J35" s="537" t="s">
        <v>9826</v>
      </c>
      <c r="K35" s="537" t="s">
        <v>9827</v>
      </c>
      <c r="L35" s="537" t="s">
        <v>5693</v>
      </c>
      <c r="M35" s="539" t="s">
        <v>9828</v>
      </c>
    </row>
    <row r="36" spans="1:13" ht="14.4" customHeight="1" x14ac:dyDescent="0.3">
      <c r="A36" s="4" t="str" cm="1">
        <f t="array" ref="A36">_xlfn.IFS(
template_selected_display_language='Footnote (Taxonomy) Labels'!$B$1,'Footnote (Taxonomy) Labels'!$B36,
template_selected_display_language='Footnote (Taxonomy) Labels'!$C$1,'Footnote (Taxonomy) Labels'!$C36,
template_selected_display_language='Footnote (Taxonomy) Labels'!$D$1,'Footnote (Taxonomy) Labels'!$D36,
template_selected_display_language='Footnote (Taxonomy) Labels'!$E$1,'Footnote (Taxonomy) Labels'!$E36,
template_selected_display_language='Footnote (Taxonomy) Labels'!$F$1,'Footnote (Taxonomy) Labels'!$F36,
template_selected_display_language='Footnote (Taxonomy) Labels'!$G$1,'Footnote (Taxonomy) Labels'!$G36,
template_selected_display_language='Footnote (Taxonomy) Labels'!$H$1,'Footnote (Taxonomy) Labels'!$H36,
template_selected_display_language='Footnote (Taxonomy) Labels'!$I$1,'Footnote (Taxonomy) Labels'!$I36,
template_selected_display_language='Footnote (Taxonomy) Labels'!$J$1,'Footnote (Taxonomy) Labels'!$J36,
template_selected_display_language='Footnote (Taxonomy) Labels'!$K$1,'Footnote (Taxonomy) Labels'!$K36,
template_selected_display_language='Footnote (Taxonomy) Labels'!$L$1,'Footnote (Taxonomy) Labels'!$L36,
template_selected_display_language='Footnote (Taxonomy) Labels'!$M$1,'Footnote (Taxonomy) Labels'!$M36
)</f>
        <v>Émissions brutes des émissions de gaz à effet de serre du scope 2 basées sur la localisation</v>
      </c>
      <c r="B36" s="544" t="s">
        <v>9829</v>
      </c>
      <c r="C36" s="537" t="s">
        <v>9830</v>
      </c>
      <c r="D36" s="537" t="s">
        <v>9831</v>
      </c>
      <c r="E36" s="537" t="s">
        <v>9832</v>
      </c>
      <c r="F36" s="537" t="s">
        <v>5700</v>
      </c>
      <c r="G36" s="537" t="s">
        <v>9833</v>
      </c>
      <c r="H36" s="537" t="s">
        <v>9834</v>
      </c>
      <c r="I36" s="537" t="s">
        <v>9835</v>
      </c>
      <c r="J36" s="537" t="s">
        <v>5704</v>
      </c>
      <c r="K36" s="537" t="s">
        <v>9836</v>
      </c>
      <c r="L36" s="537" t="s">
        <v>9837</v>
      </c>
      <c r="M36" s="539" t="s">
        <v>9838</v>
      </c>
    </row>
    <row r="37" spans="1:13" ht="14.4" customHeight="1" x14ac:dyDescent="0.3">
      <c r="A37" s="4" t="str" cm="1">
        <f t="array" ref="A37">_xlfn.IFS(
template_selected_display_language='Footnote (Taxonomy) Labels'!$B$1,'Footnote (Taxonomy) Labels'!$B37,
template_selected_display_language='Footnote (Taxonomy) Labels'!$C$1,'Footnote (Taxonomy) Labels'!$C37,
template_selected_display_language='Footnote (Taxonomy) Labels'!$D$1,'Footnote (Taxonomy) Labels'!$D37,
template_selected_display_language='Footnote (Taxonomy) Labels'!$E$1,'Footnote (Taxonomy) Labels'!$E37,
template_selected_display_language='Footnote (Taxonomy) Labels'!$F$1,'Footnote (Taxonomy) Labels'!$F37,
template_selected_display_language='Footnote (Taxonomy) Labels'!$G$1,'Footnote (Taxonomy) Labels'!$G37,
template_selected_display_language='Footnote (Taxonomy) Labels'!$H$1,'Footnote (Taxonomy) Labels'!$H37,
template_selected_display_language='Footnote (Taxonomy) Labels'!$I$1,'Footnote (Taxonomy) Labels'!$I37,
template_selected_display_language='Footnote (Taxonomy) Labels'!$J$1,'Footnote (Taxonomy) Labels'!$J37,
template_selected_display_language='Footnote (Taxonomy) Labels'!$K$1,'Footnote (Taxonomy) Labels'!$K37,
template_selected_display_language='Footnote (Taxonomy) Labels'!$L$1,'Footnote (Taxonomy) Labels'!$L37,
template_selected_display_language='Footnote (Taxonomy) Labels'!$M$1,'Footnote (Taxonomy) Labels'!$M37
)</f>
        <v>Émissions brutes des émissions de gaz à effet de serre du scope 2 basées sur le marché</v>
      </c>
      <c r="B37" s="544" t="s">
        <v>9839</v>
      </c>
      <c r="C37" s="537" t="s">
        <v>9840</v>
      </c>
      <c r="D37" s="537" t="s">
        <v>9841</v>
      </c>
      <c r="E37" s="537" t="s">
        <v>9842</v>
      </c>
      <c r="F37" s="537" t="s">
        <v>5713</v>
      </c>
      <c r="G37" s="537" t="s">
        <v>9843</v>
      </c>
      <c r="H37" s="537" t="s">
        <v>9844</v>
      </c>
      <c r="I37" s="537" t="s">
        <v>9845</v>
      </c>
      <c r="J37" s="537" t="s">
        <v>5717</v>
      </c>
      <c r="K37" s="537" t="s">
        <v>5720</v>
      </c>
      <c r="L37" s="537" t="s">
        <v>5719</v>
      </c>
      <c r="M37" s="539" t="s">
        <v>9846</v>
      </c>
    </row>
    <row r="38" spans="1:13" ht="14.4" customHeight="1" x14ac:dyDescent="0.3">
      <c r="A38" s="4" t="str" cm="1">
        <f t="array" ref="A38">_xlfn.IFS(
template_selected_display_language='Footnote (Taxonomy) Labels'!$B$1,'Footnote (Taxonomy) Labels'!$B38,
template_selected_display_language='Footnote (Taxonomy) Labels'!$C$1,'Footnote (Taxonomy) Labels'!$C38,
template_selected_display_language='Footnote (Taxonomy) Labels'!$D$1,'Footnote (Taxonomy) Labels'!$D38,
template_selected_display_language='Footnote (Taxonomy) Labels'!$E$1,'Footnote (Taxonomy) Labels'!$E38,
template_selected_display_language='Footnote (Taxonomy) Labels'!$F$1,'Footnote (Taxonomy) Labels'!$F38,
template_selected_display_language='Footnote (Taxonomy) Labels'!$G$1,'Footnote (Taxonomy) Labels'!$G38,
template_selected_display_language='Footnote (Taxonomy) Labels'!$H$1,'Footnote (Taxonomy) Labels'!$H38,
template_selected_display_language='Footnote (Taxonomy) Labels'!$I$1,'Footnote (Taxonomy) Labels'!$I38,
template_selected_display_language='Footnote (Taxonomy) Labels'!$J$1,'Footnote (Taxonomy) Labels'!$J38,
template_selected_display_language='Footnote (Taxonomy) Labels'!$K$1,'Footnote (Taxonomy) Labels'!$K38,
template_selected_display_language='Footnote (Taxonomy) Labels'!$L$1,'Footnote (Taxonomy) Labels'!$L38,
template_selected_display_language='Footnote (Taxonomy) Labels'!$M$1,'Footnote (Taxonomy) Labels'!$M38
)</f>
        <v>Émissions totales (brutes) de GES des scopes 1 et 2 basées sur la localisation</v>
      </c>
      <c r="B38" s="544" t="s">
        <v>9847</v>
      </c>
      <c r="C38" s="537" t="s">
        <v>9848</v>
      </c>
      <c r="D38" s="537" t="s">
        <v>9849</v>
      </c>
      <c r="E38" s="537" t="s">
        <v>9850</v>
      </c>
      <c r="F38" s="537" t="s">
        <v>9851</v>
      </c>
      <c r="G38" s="537" t="s">
        <v>9852</v>
      </c>
      <c r="H38" s="537" t="s">
        <v>9853</v>
      </c>
      <c r="I38" s="537" t="s">
        <v>9854</v>
      </c>
      <c r="J38" s="537" t="s">
        <v>9855</v>
      </c>
      <c r="K38" s="537" t="s">
        <v>9856</v>
      </c>
      <c r="L38" s="537" t="s">
        <v>9857</v>
      </c>
      <c r="M38" s="539" t="s">
        <v>9858</v>
      </c>
    </row>
    <row r="39" spans="1:13" ht="14.4" customHeight="1" x14ac:dyDescent="0.3">
      <c r="A39" s="4" t="str" cm="1">
        <f t="array" ref="A39">_xlfn.IFS(
template_selected_display_language='Footnote (Taxonomy) Labels'!$B$1,'Footnote (Taxonomy) Labels'!$B39,
template_selected_display_language='Footnote (Taxonomy) Labels'!$C$1,'Footnote (Taxonomy) Labels'!$C39,
template_selected_display_language='Footnote (Taxonomy) Labels'!$D$1,'Footnote (Taxonomy) Labels'!$D39,
template_selected_display_language='Footnote (Taxonomy) Labels'!$E$1,'Footnote (Taxonomy) Labels'!$E39,
template_selected_display_language='Footnote (Taxonomy) Labels'!$F$1,'Footnote (Taxonomy) Labels'!$F39,
template_selected_display_language='Footnote (Taxonomy) Labels'!$G$1,'Footnote (Taxonomy) Labels'!$G39,
template_selected_display_language='Footnote (Taxonomy) Labels'!$H$1,'Footnote (Taxonomy) Labels'!$H39,
template_selected_display_language='Footnote (Taxonomy) Labels'!$I$1,'Footnote (Taxonomy) Labels'!$I39,
template_selected_display_language='Footnote (Taxonomy) Labels'!$J$1,'Footnote (Taxonomy) Labels'!$J39,
template_selected_display_language='Footnote (Taxonomy) Labels'!$K$1,'Footnote (Taxonomy) Labels'!$K39,
template_selected_display_language='Footnote (Taxonomy) Labels'!$L$1,'Footnote (Taxonomy) Labels'!$L39,
template_selected_display_language='Footnote (Taxonomy) Labels'!$M$1,'Footnote (Taxonomy) Labels'!$M39
)</f>
        <v>Émissions totales (brutes) de GES des scopes 1 et 2 basées sur le marché</v>
      </c>
      <c r="B39" s="544" t="s">
        <v>9859</v>
      </c>
      <c r="C39" s="537" t="s">
        <v>9860</v>
      </c>
      <c r="D39" s="537" t="s">
        <v>9861</v>
      </c>
      <c r="E39" s="537" t="s">
        <v>9862</v>
      </c>
      <c r="F39" s="537" t="s">
        <v>9863</v>
      </c>
      <c r="G39" s="537" t="s">
        <v>9864</v>
      </c>
      <c r="H39" s="537" t="s">
        <v>9865</v>
      </c>
      <c r="I39" s="537" t="s">
        <v>9866</v>
      </c>
      <c r="J39" s="537" t="s">
        <v>9867</v>
      </c>
      <c r="K39" s="537" t="s">
        <v>9868</v>
      </c>
      <c r="L39" s="537" t="s">
        <v>9869</v>
      </c>
      <c r="M39" s="539" t="s">
        <v>9870</v>
      </c>
    </row>
    <row r="40" spans="1:13" ht="14.4" customHeight="1" x14ac:dyDescent="0.3">
      <c r="A40" s="4" t="str" cm="1">
        <f t="array" ref="A40">_xlfn.IFS(
template_selected_display_language='Footnote (Taxonomy) Labels'!$B$1,'Footnote (Taxonomy) Labels'!$B40,
template_selected_display_language='Footnote (Taxonomy) Labels'!$C$1,'Footnote (Taxonomy) Labels'!$C40,
template_selected_display_language='Footnote (Taxonomy) Labels'!$D$1,'Footnote (Taxonomy) Labels'!$D40,
template_selected_display_language='Footnote (Taxonomy) Labels'!$E$1,'Footnote (Taxonomy) Labels'!$E40,
template_selected_display_language='Footnote (Taxonomy) Labels'!$F$1,'Footnote (Taxonomy) Labels'!$F40,
template_selected_display_language='Footnote (Taxonomy) Labels'!$G$1,'Footnote (Taxonomy) Labels'!$G40,
template_selected_display_language='Footnote (Taxonomy) Labels'!$H$1,'Footnote (Taxonomy) Labels'!$H40,
template_selected_display_language='Footnote (Taxonomy) Labels'!$I$1,'Footnote (Taxonomy) Labels'!$I40,
template_selected_display_language='Footnote (Taxonomy) Labels'!$J$1,'Footnote (Taxonomy) Labels'!$J40,
template_selected_display_language='Footnote (Taxonomy) Labels'!$K$1,'Footnote (Taxonomy) Labels'!$K40,
template_selected_display_language='Footnote (Taxonomy) Labels'!$L$1,'Footnote (Taxonomy) Labels'!$L40,
template_selected_display_language='Footnote (Taxonomy) Labels'!$M$1,'Footnote (Taxonomy) Labels'!$M40
)</f>
        <v>Émissions brutes de gaz à effet de serre du scope 3</v>
      </c>
      <c r="B40" s="544" t="s">
        <v>9871</v>
      </c>
      <c r="C40" s="537" t="s">
        <v>9872</v>
      </c>
      <c r="D40" s="537" t="s">
        <v>9873</v>
      </c>
      <c r="E40" s="537" t="s">
        <v>9874</v>
      </c>
      <c r="F40" s="537" t="s">
        <v>9875</v>
      </c>
      <c r="G40" s="537" t="s">
        <v>9876</v>
      </c>
      <c r="H40" s="537" t="s">
        <v>9877</v>
      </c>
      <c r="I40" s="537" t="s">
        <v>9878</v>
      </c>
      <c r="J40" s="537" t="s">
        <v>9879</v>
      </c>
      <c r="K40" s="537" t="s">
        <v>9880</v>
      </c>
      <c r="L40" s="537" t="s">
        <v>9881</v>
      </c>
      <c r="M40" s="539" t="s">
        <v>9882</v>
      </c>
    </row>
    <row r="41" spans="1:13" ht="14.4" customHeight="1" x14ac:dyDescent="0.3">
      <c r="A41" s="4" t="str" cm="1">
        <f t="array" ref="A41">_xlfn.IFS(
template_selected_display_language='Footnote (Taxonomy) Labels'!$B$1,'Footnote (Taxonomy) Labels'!$B41,
template_selected_display_language='Footnote (Taxonomy) Labels'!$C$1,'Footnote (Taxonomy) Labels'!$C41,
template_selected_display_language='Footnote (Taxonomy) Labels'!$D$1,'Footnote (Taxonomy) Labels'!$D41,
template_selected_display_language='Footnote (Taxonomy) Labels'!$E$1,'Footnote (Taxonomy) Labels'!$E41,
template_selected_display_language='Footnote (Taxonomy) Labels'!$F$1,'Footnote (Taxonomy) Labels'!$F41,
template_selected_display_language='Footnote (Taxonomy) Labels'!$G$1,'Footnote (Taxonomy) Labels'!$G41,
template_selected_display_language='Footnote (Taxonomy) Labels'!$H$1,'Footnote (Taxonomy) Labels'!$H41,
template_selected_display_language='Footnote (Taxonomy) Labels'!$I$1,'Footnote (Taxonomy) Labels'!$I41,
template_selected_display_language='Footnote (Taxonomy) Labels'!$J$1,'Footnote (Taxonomy) Labels'!$J41,
template_selected_display_language='Footnote (Taxonomy) Labels'!$K$1,'Footnote (Taxonomy) Labels'!$K41,
template_selected_display_language='Footnote (Taxonomy) Labels'!$L$1,'Footnote (Taxonomy) Labels'!$L41,
template_selected_display_language='Footnote (Taxonomy) Labels'!$M$1,'Footnote (Taxonomy) Labels'!$M41
)</f>
        <v>Émissions totales (brutes) de GES basées sur la localisation</v>
      </c>
      <c r="B41" s="544" t="s">
        <v>9883</v>
      </c>
      <c r="C41" s="537" t="s">
        <v>9884</v>
      </c>
      <c r="D41" s="537" t="s">
        <v>9885</v>
      </c>
      <c r="E41" s="537" t="s">
        <v>9886</v>
      </c>
      <c r="F41" s="537" t="s">
        <v>9887</v>
      </c>
      <c r="G41" s="537" t="s">
        <v>9888</v>
      </c>
      <c r="H41" s="537" t="s">
        <v>9889</v>
      </c>
      <c r="I41" s="537" t="s">
        <v>9890</v>
      </c>
      <c r="J41" s="537" t="s">
        <v>9891</v>
      </c>
      <c r="K41" s="537" t="s">
        <v>9892</v>
      </c>
      <c r="L41" s="537" t="s">
        <v>9893</v>
      </c>
      <c r="M41" s="539" t="s">
        <v>9894</v>
      </c>
    </row>
    <row r="42" spans="1:13" ht="14.4" customHeight="1" x14ac:dyDescent="0.3">
      <c r="A42" s="4" t="str" cm="1">
        <f t="array" ref="A42">_xlfn.IFS(
template_selected_display_language='Footnote (Taxonomy) Labels'!$B$1,'Footnote (Taxonomy) Labels'!$B42,
template_selected_display_language='Footnote (Taxonomy) Labels'!$C$1,'Footnote (Taxonomy) Labels'!$C42,
template_selected_display_language='Footnote (Taxonomy) Labels'!$D$1,'Footnote (Taxonomy) Labels'!$D42,
template_selected_display_language='Footnote (Taxonomy) Labels'!$E$1,'Footnote (Taxonomy) Labels'!$E42,
template_selected_display_language='Footnote (Taxonomy) Labels'!$F$1,'Footnote (Taxonomy) Labels'!$F42,
template_selected_display_language='Footnote (Taxonomy) Labels'!$G$1,'Footnote (Taxonomy) Labels'!$G42,
template_selected_display_language='Footnote (Taxonomy) Labels'!$H$1,'Footnote (Taxonomy) Labels'!$H42,
template_selected_display_language='Footnote (Taxonomy) Labels'!$I$1,'Footnote (Taxonomy) Labels'!$I42,
template_selected_display_language='Footnote (Taxonomy) Labels'!$J$1,'Footnote (Taxonomy) Labels'!$J42,
template_selected_display_language='Footnote (Taxonomy) Labels'!$K$1,'Footnote (Taxonomy) Labels'!$K42,
template_selected_display_language='Footnote (Taxonomy) Labels'!$L$1,'Footnote (Taxonomy) Labels'!$L42,
template_selected_display_language='Footnote (Taxonomy) Labels'!$M$1,'Footnote (Taxonomy) Labels'!$M42
)</f>
        <v>Émissions totales (brutes) de gaz à GES basées sur le marché</v>
      </c>
      <c r="B42" s="544" t="s">
        <v>9895</v>
      </c>
      <c r="C42" s="537" t="s">
        <v>9896</v>
      </c>
      <c r="D42" s="537" t="s">
        <v>9897</v>
      </c>
      <c r="E42" s="537" t="s">
        <v>9898</v>
      </c>
      <c r="F42" s="537" t="s">
        <v>9899</v>
      </c>
      <c r="G42" s="537" t="s">
        <v>9900</v>
      </c>
      <c r="H42" s="537" t="s">
        <v>9901</v>
      </c>
      <c r="I42" s="537" t="s">
        <v>9902</v>
      </c>
      <c r="J42" s="537" t="s">
        <v>9903</v>
      </c>
      <c r="K42" s="537" t="s">
        <v>9904</v>
      </c>
      <c r="L42" s="537" t="s">
        <v>9905</v>
      </c>
      <c r="M42" s="539" t="s">
        <v>9906</v>
      </c>
    </row>
    <row r="43" spans="1:13" ht="14.4" customHeight="1" x14ac:dyDescent="0.3">
      <c r="A43" s="4" t="str" cm="1">
        <f t="array" ref="A43">_xlfn.IFS(
template_selected_display_language='Footnote (Taxonomy) Labels'!$B$1,'Footnote (Taxonomy) Labels'!$B43,
template_selected_display_language='Footnote (Taxonomy) Labels'!$C$1,'Footnote (Taxonomy) Labels'!$C43,
template_selected_display_language='Footnote (Taxonomy) Labels'!$D$1,'Footnote (Taxonomy) Labels'!$D43,
template_selected_display_language='Footnote (Taxonomy) Labels'!$E$1,'Footnote (Taxonomy) Labels'!$E43,
template_selected_display_language='Footnote (Taxonomy) Labels'!$F$1,'Footnote (Taxonomy) Labels'!$F43,
template_selected_display_language='Footnote (Taxonomy) Labels'!$G$1,'Footnote (Taxonomy) Labels'!$G43,
template_selected_display_language='Footnote (Taxonomy) Labels'!$H$1,'Footnote (Taxonomy) Labels'!$H43,
template_selected_display_language='Footnote (Taxonomy) Labels'!$I$1,'Footnote (Taxonomy) Labels'!$I43,
template_selected_display_language='Footnote (Taxonomy) Labels'!$J$1,'Footnote (Taxonomy) Labels'!$J43,
template_selected_display_language='Footnote (Taxonomy) Labels'!$K$1,'Footnote (Taxonomy) Labels'!$K43,
template_selected_display_language='Footnote (Taxonomy) Labels'!$L$1,'Footnote (Taxonomy) Labels'!$L43,
template_selected_display_language='Footnote (Taxonomy) Labels'!$M$1,'Footnote (Taxonomy) Labels'!$M43
)</f>
        <v>Intensité des émissions de gaz à effet de serre des scopes 1 et 2 basées sur la localisation</v>
      </c>
      <c r="B43" s="544" t="s">
        <v>9907</v>
      </c>
      <c r="C43" s="537" t="s">
        <v>6119</v>
      </c>
      <c r="D43" s="537" t="s">
        <v>9908</v>
      </c>
      <c r="E43" s="537" t="s">
        <v>9909</v>
      </c>
      <c r="F43" s="537" t="s">
        <v>9910</v>
      </c>
      <c r="G43" s="537" t="s">
        <v>9911</v>
      </c>
      <c r="H43" s="537" t="s">
        <v>9912</v>
      </c>
      <c r="I43" s="537" t="s">
        <v>9913</v>
      </c>
      <c r="J43" s="537" t="s">
        <v>9914</v>
      </c>
      <c r="K43" s="537" t="s">
        <v>9915</v>
      </c>
      <c r="L43" s="537" t="s">
        <v>9916</v>
      </c>
      <c r="M43" s="539" t="s">
        <v>9917</v>
      </c>
    </row>
    <row r="44" spans="1:13" ht="14.4" customHeight="1" x14ac:dyDescent="0.3">
      <c r="A44" s="4" t="str" cm="1">
        <f t="array" ref="A44">_xlfn.IFS(
template_selected_display_language='Footnote (Taxonomy) Labels'!$B$1,'Footnote (Taxonomy) Labels'!$B44,
template_selected_display_language='Footnote (Taxonomy) Labels'!$C$1,'Footnote (Taxonomy) Labels'!$C44,
template_selected_display_language='Footnote (Taxonomy) Labels'!$D$1,'Footnote (Taxonomy) Labels'!$D44,
template_selected_display_language='Footnote (Taxonomy) Labels'!$E$1,'Footnote (Taxonomy) Labels'!$E44,
template_selected_display_language='Footnote (Taxonomy) Labels'!$F$1,'Footnote (Taxonomy) Labels'!$F44,
template_selected_display_language='Footnote (Taxonomy) Labels'!$G$1,'Footnote (Taxonomy) Labels'!$G44,
template_selected_display_language='Footnote (Taxonomy) Labels'!$H$1,'Footnote (Taxonomy) Labels'!$H44,
template_selected_display_language='Footnote (Taxonomy) Labels'!$I$1,'Footnote (Taxonomy) Labels'!$I44,
template_selected_display_language='Footnote (Taxonomy) Labels'!$J$1,'Footnote (Taxonomy) Labels'!$J44,
template_selected_display_language='Footnote (Taxonomy) Labels'!$K$1,'Footnote (Taxonomy) Labels'!$K44,
template_selected_display_language='Footnote (Taxonomy) Labels'!$L$1,'Footnote (Taxonomy) Labels'!$L44,
template_selected_display_language='Footnote (Taxonomy) Labels'!$M$1,'Footnote (Taxonomy) Labels'!$M44
)</f>
        <v>Intensité des émissions de gaz à effet de serre des scopes 1 et 2 basées sur le marché</v>
      </c>
      <c r="B44" s="544" t="s">
        <v>9918</v>
      </c>
      <c r="C44" s="537" t="s">
        <v>6132</v>
      </c>
      <c r="D44" s="537" t="s">
        <v>9919</v>
      </c>
      <c r="E44" s="537" t="s">
        <v>9920</v>
      </c>
      <c r="F44" s="537" t="s">
        <v>9921</v>
      </c>
      <c r="G44" s="537" t="s">
        <v>9922</v>
      </c>
      <c r="H44" s="537" t="s">
        <v>9923</v>
      </c>
      <c r="I44" s="537" t="s">
        <v>9924</v>
      </c>
      <c r="J44" s="537" t="s">
        <v>9925</v>
      </c>
      <c r="K44" s="537" t="s">
        <v>9926</v>
      </c>
      <c r="L44" s="537" t="s">
        <v>9927</v>
      </c>
      <c r="M44" s="539" t="s">
        <v>9928</v>
      </c>
    </row>
    <row r="45" spans="1:13" ht="14.4" customHeight="1" x14ac:dyDescent="0.3">
      <c r="A45" s="4" t="str" cm="1">
        <f t="array" ref="A45">_xlfn.IFS(
template_selected_display_language='Footnote (Taxonomy) Labels'!$B$1,'Footnote (Taxonomy) Labels'!$B45,
template_selected_display_language='Footnote (Taxonomy) Labels'!$C$1,'Footnote (Taxonomy) Labels'!$C45,
template_selected_display_language='Footnote (Taxonomy) Labels'!$D$1,'Footnote (Taxonomy) Labels'!$D45,
template_selected_display_language='Footnote (Taxonomy) Labels'!$E$1,'Footnote (Taxonomy) Labels'!$E45,
template_selected_display_language='Footnote (Taxonomy) Labels'!$F$1,'Footnote (Taxonomy) Labels'!$F45,
template_selected_display_language='Footnote (Taxonomy) Labels'!$G$1,'Footnote (Taxonomy) Labels'!$G45,
template_selected_display_language='Footnote (Taxonomy) Labels'!$H$1,'Footnote (Taxonomy) Labels'!$H45,
template_selected_display_language='Footnote (Taxonomy) Labels'!$I$1,'Footnote (Taxonomy) Labels'!$I45,
template_selected_display_language='Footnote (Taxonomy) Labels'!$J$1,'Footnote (Taxonomy) Labels'!$J45,
template_selected_display_language='Footnote (Taxonomy) Labels'!$K$1,'Footnote (Taxonomy) Labels'!$K45,
template_selected_display_language='Footnote (Taxonomy) Labels'!$L$1,'Footnote (Taxonomy) Labels'!$L45,
template_selected_display_language='Footnote (Taxonomy) Labels'!$M$1,'Footnote (Taxonomy) Labels'!$M45
)</f>
        <v>Intensité des émissions de gaz à effet de serre totales basées sur la localisation</v>
      </c>
      <c r="B45" s="544" t="s">
        <v>9929</v>
      </c>
      <c r="C45" s="537" t="s">
        <v>9930</v>
      </c>
      <c r="D45" s="537" t="s">
        <v>9931</v>
      </c>
      <c r="E45" s="537" t="s">
        <v>9932</v>
      </c>
      <c r="F45" s="537" t="s">
        <v>9933</v>
      </c>
      <c r="G45" s="537" t="s">
        <v>9934</v>
      </c>
      <c r="H45" s="537" t="s">
        <v>9935</v>
      </c>
      <c r="I45" s="537" t="s">
        <v>9936</v>
      </c>
      <c r="J45" s="537" t="s">
        <v>9937</v>
      </c>
      <c r="K45" s="537" t="s">
        <v>9938</v>
      </c>
      <c r="L45" s="537" t="s">
        <v>9939</v>
      </c>
      <c r="M45" s="539" t="s">
        <v>9940</v>
      </c>
    </row>
    <row r="46" spans="1:13" ht="14.4" customHeight="1" x14ac:dyDescent="0.3">
      <c r="A46" s="4" t="str" cm="1">
        <f t="array" ref="A46">_xlfn.IFS(
template_selected_display_language='Footnote (Taxonomy) Labels'!$B$1,'Footnote (Taxonomy) Labels'!$B46,
template_selected_display_language='Footnote (Taxonomy) Labels'!$C$1,'Footnote (Taxonomy) Labels'!$C46,
template_selected_display_language='Footnote (Taxonomy) Labels'!$D$1,'Footnote (Taxonomy) Labels'!$D46,
template_selected_display_language='Footnote (Taxonomy) Labels'!$E$1,'Footnote (Taxonomy) Labels'!$E46,
template_selected_display_language='Footnote (Taxonomy) Labels'!$F$1,'Footnote (Taxonomy) Labels'!$F46,
template_selected_display_language='Footnote (Taxonomy) Labels'!$G$1,'Footnote (Taxonomy) Labels'!$G46,
template_selected_display_language='Footnote (Taxonomy) Labels'!$H$1,'Footnote (Taxonomy) Labels'!$H46,
template_selected_display_language='Footnote (Taxonomy) Labels'!$I$1,'Footnote (Taxonomy) Labels'!$I46,
template_selected_display_language='Footnote (Taxonomy) Labels'!$J$1,'Footnote (Taxonomy) Labels'!$J46,
template_selected_display_language='Footnote (Taxonomy) Labels'!$K$1,'Footnote (Taxonomy) Labels'!$K46,
template_selected_display_language='Footnote (Taxonomy) Labels'!$L$1,'Footnote (Taxonomy) Labels'!$L46,
template_selected_display_language='Footnote (Taxonomy) Labels'!$M$1,'Footnote (Taxonomy) Labels'!$M46
)</f>
        <v>Intensité des émissions de gaz à effet de serre totales basées sur le marché</v>
      </c>
      <c r="B46" s="544" t="s">
        <v>9941</v>
      </c>
      <c r="C46" s="537" t="s">
        <v>9942</v>
      </c>
      <c r="D46" s="537" t="s">
        <v>9943</v>
      </c>
      <c r="E46" s="537" t="s">
        <v>9944</v>
      </c>
      <c r="F46" s="537" t="s">
        <v>9945</v>
      </c>
      <c r="G46" s="537" t="s">
        <v>9946</v>
      </c>
      <c r="H46" s="537" t="s">
        <v>9947</v>
      </c>
      <c r="I46" s="537" t="s">
        <v>9948</v>
      </c>
      <c r="J46" s="537" t="s">
        <v>9949</v>
      </c>
      <c r="K46" s="537" t="s">
        <v>9950</v>
      </c>
      <c r="L46" s="537" t="s">
        <v>9951</v>
      </c>
      <c r="M46" s="539" t="s">
        <v>9952</v>
      </c>
    </row>
    <row r="47" spans="1:13" ht="14.4" customHeight="1" x14ac:dyDescent="0.3">
      <c r="A47" s="4" t="str" cm="1">
        <f t="array" ref="A47">_xlfn.IFS(
template_selected_display_language='Footnote (Taxonomy) Labels'!$B$1,'Footnote (Taxonomy) Labels'!$B47,
template_selected_display_language='Footnote (Taxonomy) Labels'!$C$1,'Footnote (Taxonomy) Labels'!$C47,
template_selected_display_language='Footnote (Taxonomy) Labels'!$D$1,'Footnote (Taxonomy) Labels'!$D47,
template_selected_display_language='Footnote (Taxonomy) Labels'!$E$1,'Footnote (Taxonomy) Labels'!$E47,
template_selected_display_language='Footnote (Taxonomy) Labels'!$F$1,'Footnote (Taxonomy) Labels'!$F47,
template_selected_display_language='Footnote (Taxonomy) Labels'!$G$1,'Footnote (Taxonomy) Labels'!$G47,
template_selected_display_language='Footnote (Taxonomy) Labels'!$H$1,'Footnote (Taxonomy) Labels'!$H47,
template_selected_display_language='Footnote (Taxonomy) Labels'!$I$1,'Footnote (Taxonomy) Labels'!$I47,
template_selected_display_language='Footnote (Taxonomy) Labels'!$J$1,'Footnote (Taxonomy) Labels'!$J47,
template_selected_display_language='Footnote (Taxonomy) Labels'!$K$1,'Footnote (Taxonomy) Labels'!$K47,
template_selected_display_language='Footnote (Taxonomy) Labels'!$L$1,'Footnote (Taxonomy) Labels'!$L47,
template_selected_display_language='Footnote (Taxonomy) Labels'!$M$1,'Footnote (Taxonomy) Labels'!$M47
)</f>
        <v>Information accessible au public</v>
      </c>
      <c r="B47" s="544" t="s">
        <v>9953</v>
      </c>
      <c r="C47" s="537" t="s">
        <v>9954</v>
      </c>
      <c r="D47" s="537" t="s">
        <v>9955</v>
      </c>
      <c r="E47" s="537" t="s">
        <v>9956</v>
      </c>
      <c r="F47" s="537" t="s">
        <v>9957</v>
      </c>
      <c r="G47" s="537" t="s">
        <v>9958</v>
      </c>
      <c r="H47" s="537" t="s">
        <v>9959</v>
      </c>
      <c r="I47" s="537" t="s">
        <v>9960</v>
      </c>
      <c r="J47" s="537" t="s">
        <v>9961</v>
      </c>
      <c r="K47" s="537" t="s">
        <v>9962</v>
      </c>
      <c r="L47" s="537" t="s">
        <v>9963</v>
      </c>
      <c r="M47" s="539" t="s">
        <v>9964</v>
      </c>
    </row>
    <row r="48" spans="1:13" ht="14.4" customHeight="1" x14ac:dyDescent="0.3">
      <c r="A48" s="4" t="str" cm="1">
        <f t="array" ref="A48">_xlfn.IFS(
template_selected_display_language='Footnote (Taxonomy) Labels'!$B$1,'Footnote (Taxonomy) Labels'!$B48,
template_selected_display_language='Footnote (Taxonomy) Labels'!$C$1,'Footnote (Taxonomy) Labels'!$C48,
template_selected_display_language='Footnote (Taxonomy) Labels'!$D$1,'Footnote (Taxonomy) Labels'!$D48,
template_selected_display_language='Footnote (Taxonomy) Labels'!$E$1,'Footnote (Taxonomy) Labels'!$E48,
template_selected_display_language='Footnote (Taxonomy) Labels'!$F$1,'Footnote (Taxonomy) Labels'!$F48,
template_selected_display_language='Footnote (Taxonomy) Labels'!$G$1,'Footnote (Taxonomy) Labels'!$G48,
template_selected_display_language='Footnote (Taxonomy) Labels'!$H$1,'Footnote (Taxonomy) Labels'!$H48,
template_selected_display_language='Footnote (Taxonomy) Labels'!$I$1,'Footnote (Taxonomy) Labels'!$I48,
template_selected_display_language='Footnote (Taxonomy) Labels'!$J$1,'Footnote (Taxonomy) Labels'!$J48,
template_selected_display_language='Footnote (Taxonomy) Labels'!$K$1,'Footnote (Taxonomy) Labels'!$K48,
template_selected_display_language='Footnote (Taxonomy) Labels'!$L$1,'Footnote (Taxonomy) Labels'!$L48,
template_selected_display_language='Footnote (Taxonomy) Labels'!$M$1,'Footnote (Taxonomy) Labels'!$M48
)</f>
        <v>URL ou lien vers l'information accessible au public</v>
      </c>
      <c r="B48" s="544" t="s">
        <v>9965</v>
      </c>
      <c r="C48" s="537" t="s">
        <v>9966</v>
      </c>
      <c r="D48" s="537" t="s">
        <v>9967</v>
      </c>
      <c r="E48" s="537" t="s">
        <v>9968</v>
      </c>
      <c r="F48" s="537" t="s">
        <v>9969</v>
      </c>
      <c r="G48" s="537" t="s">
        <v>9970</v>
      </c>
      <c r="H48" s="537" t="s">
        <v>9971</v>
      </c>
      <c r="I48" s="537" t="s">
        <v>9972</v>
      </c>
      <c r="J48" s="537" t="s">
        <v>9973</v>
      </c>
      <c r="K48" s="537" t="s">
        <v>9974</v>
      </c>
      <c r="L48" s="537" t="s">
        <v>9975</v>
      </c>
      <c r="M48" s="539" t="s">
        <v>9976</v>
      </c>
    </row>
    <row r="49" spans="1:13" ht="14.4" customHeight="1" x14ac:dyDescent="0.3">
      <c r="A49" s="4" t="str" cm="1">
        <f t="array" ref="A49">_xlfn.IFS(
template_selected_display_language='Footnote (Taxonomy) Labels'!$B$1,'Footnote (Taxonomy) Labels'!$B49,
template_selected_display_language='Footnote (Taxonomy) Labels'!$C$1,'Footnote (Taxonomy) Labels'!$C49,
template_selected_display_language='Footnote (Taxonomy) Labels'!$D$1,'Footnote (Taxonomy) Labels'!$D49,
template_selected_display_language='Footnote (Taxonomy) Labels'!$E$1,'Footnote (Taxonomy) Labels'!$E49,
template_selected_display_language='Footnote (Taxonomy) Labels'!$F$1,'Footnote (Taxonomy) Labels'!$F49,
template_selected_display_language='Footnote (Taxonomy) Labels'!$G$1,'Footnote (Taxonomy) Labels'!$G49,
template_selected_display_language='Footnote (Taxonomy) Labels'!$H$1,'Footnote (Taxonomy) Labels'!$H49,
template_selected_display_language='Footnote (Taxonomy) Labels'!$I$1,'Footnote (Taxonomy) Labels'!$I49,
template_selected_display_language='Footnote (Taxonomy) Labels'!$J$1,'Footnote (Taxonomy) Labels'!$J49,
template_selected_display_language='Footnote (Taxonomy) Labels'!$K$1,'Footnote (Taxonomy) Labels'!$K49,
template_selected_display_language='Footnote (Taxonomy) Labels'!$L$1,'Footnote (Taxonomy) Labels'!$L49,
template_selected_display_language='Footnote (Taxonomy) Labels'!$M$1,'Footnote (Taxonomy) Labels'!$M49
)</f>
        <v>Quantité de rejets dans l'air</v>
      </c>
      <c r="B49" s="544" t="s">
        <v>9977</v>
      </c>
      <c r="C49" s="537" t="s">
        <v>9978</v>
      </c>
      <c r="D49" s="537" t="s">
        <v>9979</v>
      </c>
      <c r="E49" s="537" t="s">
        <v>9980</v>
      </c>
      <c r="F49" s="537" t="s">
        <v>9981</v>
      </c>
      <c r="G49" s="537" t="s">
        <v>9982</v>
      </c>
      <c r="H49" s="537" t="s">
        <v>9983</v>
      </c>
      <c r="I49" s="537" t="s">
        <v>9984</v>
      </c>
      <c r="J49" s="537" t="s">
        <v>9985</v>
      </c>
      <c r="K49" s="537" t="s">
        <v>9986</v>
      </c>
      <c r="L49" s="537" t="s">
        <v>9987</v>
      </c>
      <c r="M49" s="539" t="s">
        <v>9988</v>
      </c>
    </row>
    <row r="50" spans="1:13" ht="14.4" customHeight="1" x14ac:dyDescent="0.3">
      <c r="A50" s="4" t="str" cm="1">
        <f t="array" ref="A50">_xlfn.IFS(
template_selected_display_language='Footnote (Taxonomy) Labels'!$B$1,'Footnote (Taxonomy) Labels'!$B50,
template_selected_display_language='Footnote (Taxonomy) Labels'!$C$1,'Footnote (Taxonomy) Labels'!$C50,
template_selected_display_language='Footnote (Taxonomy) Labels'!$D$1,'Footnote (Taxonomy) Labels'!$D50,
template_selected_display_language='Footnote (Taxonomy) Labels'!$E$1,'Footnote (Taxonomy) Labels'!$E50,
template_selected_display_language='Footnote (Taxonomy) Labels'!$F$1,'Footnote (Taxonomy) Labels'!$F50,
template_selected_display_language='Footnote (Taxonomy) Labels'!$G$1,'Footnote (Taxonomy) Labels'!$G50,
template_selected_display_language='Footnote (Taxonomy) Labels'!$H$1,'Footnote (Taxonomy) Labels'!$H50,
template_selected_display_language='Footnote (Taxonomy) Labels'!$I$1,'Footnote (Taxonomy) Labels'!$I50,
template_selected_display_language='Footnote (Taxonomy) Labels'!$J$1,'Footnote (Taxonomy) Labels'!$J50,
template_selected_display_language='Footnote (Taxonomy) Labels'!$K$1,'Footnote (Taxonomy) Labels'!$K50,
template_selected_display_language='Footnote (Taxonomy) Labels'!$L$1,'Footnote (Taxonomy) Labels'!$L50,
template_selected_display_language='Footnote (Taxonomy) Labels'!$M$1,'Footnote (Taxonomy) Labels'!$M50
)</f>
        <v>Quantité de rejets dans l'eau</v>
      </c>
      <c r="B50" s="544" t="s">
        <v>9989</v>
      </c>
      <c r="C50" s="537" t="s">
        <v>9990</v>
      </c>
      <c r="D50" s="537" t="s">
        <v>9991</v>
      </c>
      <c r="E50" s="537" t="s">
        <v>9992</v>
      </c>
      <c r="F50" s="537" t="s">
        <v>9993</v>
      </c>
      <c r="G50" s="537" t="s">
        <v>9994</v>
      </c>
      <c r="H50" s="537" t="s">
        <v>9995</v>
      </c>
      <c r="I50" s="537" t="s">
        <v>9996</v>
      </c>
      <c r="J50" s="537" t="s">
        <v>9997</v>
      </c>
      <c r="K50" s="537" t="s">
        <v>9998</v>
      </c>
      <c r="L50" s="537" t="s">
        <v>9999</v>
      </c>
      <c r="M50" s="539" t="s">
        <v>10000</v>
      </c>
    </row>
    <row r="51" spans="1:13" ht="14.4" customHeight="1" x14ac:dyDescent="0.3">
      <c r="A51" s="4" t="str" cm="1">
        <f t="array" ref="A51">_xlfn.IFS(
template_selected_display_language='Footnote (Taxonomy) Labels'!$B$1,'Footnote (Taxonomy) Labels'!$B51,
template_selected_display_language='Footnote (Taxonomy) Labels'!$C$1,'Footnote (Taxonomy) Labels'!$C51,
template_selected_display_language='Footnote (Taxonomy) Labels'!$D$1,'Footnote (Taxonomy) Labels'!$D51,
template_selected_display_language='Footnote (Taxonomy) Labels'!$E$1,'Footnote (Taxonomy) Labels'!$E51,
template_selected_display_language='Footnote (Taxonomy) Labels'!$F$1,'Footnote (Taxonomy) Labels'!$F51,
template_selected_display_language='Footnote (Taxonomy) Labels'!$G$1,'Footnote (Taxonomy) Labels'!$G51,
template_selected_display_language='Footnote (Taxonomy) Labels'!$H$1,'Footnote (Taxonomy) Labels'!$H51,
template_selected_display_language='Footnote (Taxonomy) Labels'!$I$1,'Footnote (Taxonomy) Labels'!$I51,
template_selected_display_language='Footnote (Taxonomy) Labels'!$J$1,'Footnote (Taxonomy) Labels'!$J51,
template_selected_display_language='Footnote (Taxonomy) Labels'!$K$1,'Footnote (Taxonomy) Labels'!$K51,
template_selected_display_language='Footnote (Taxonomy) Labels'!$L$1,'Footnote (Taxonomy) Labels'!$L51,
template_selected_display_language='Footnote (Taxonomy) Labels'!$M$1,'Footnote (Taxonomy) Labels'!$M51
)</f>
        <v>Quantité de rejets dans les sols</v>
      </c>
      <c r="B51" s="544" t="s">
        <v>10001</v>
      </c>
      <c r="C51" s="537" t="s">
        <v>10002</v>
      </c>
      <c r="D51" s="537" t="s">
        <v>10003</v>
      </c>
      <c r="E51" s="537" t="s">
        <v>10004</v>
      </c>
      <c r="F51" s="537" t="s">
        <v>10005</v>
      </c>
      <c r="G51" s="537" t="s">
        <v>10006</v>
      </c>
      <c r="H51" s="537" t="s">
        <v>10007</v>
      </c>
      <c r="I51" s="537" t="s">
        <v>10008</v>
      </c>
      <c r="J51" s="537" t="s">
        <v>10009</v>
      </c>
      <c r="K51" s="537" t="s">
        <v>10010</v>
      </c>
      <c r="L51" s="537" t="s">
        <v>10011</v>
      </c>
      <c r="M51" s="539" t="s">
        <v>10012</v>
      </c>
    </row>
    <row r="52" spans="1:13" ht="14.4" customHeight="1" x14ac:dyDescent="0.3">
      <c r="A52" s="4" t="str" cm="1">
        <f t="array" ref="A52">_xlfn.IFS(
template_selected_display_language='Footnote (Taxonomy) Labels'!$B$1,'Footnote (Taxonomy) Labels'!$B52,
template_selected_display_language='Footnote (Taxonomy) Labels'!$C$1,'Footnote (Taxonomy) Labels'!$C52,
template_selected_display_language='Footnote (Taxonomy) Labels'!$D$1,'Footnote (Taxonomy) Labels'!$D52,
template_selected_display_language='Footnote (Taxonomy) Labels'!$E$1,'Footnote (Taxonomy) Labels'!$E52,
template_selected_display_language='Footnote (Taxonomy) Labels'!$F$1,'Footnote (Taxonomy) Labels'!$F52,
template_selected_display_language='Footnote (Taxonomy) Labels'!$G$1,'Footnote (Taxonomy) Labels'!$G52,
template_selected_display_language='Footnote (Taxonomy) Labels'!$H$1,'Footnote (Taxonomy) Labels'!$H52,
template_selected_display_language='Footnote (Taxonomy) Labels'!$I$1,'Footnote (Taxonomy) Labels'!$I52,
template_selected_display_language='Footnote (Taxonomy) Labels'!$J$1,'Footnote (Taxonomy) Labels'!$J52,
template_selected_display_language='Footnote (Taxonomy) Labels'!$K$1,'Footnote (Taxonomy) Labels'!$K52,
template_selected_display_language='Footnote (Taxonomy) Labels'!$L$1,'Footnote (Taxonomy) Labels'!$L52,
template_selected_display_language='Footnote (Taxonomy) Labels'!$M$1,'Footnote (Taxonomy) Labels'!$M52
)</f>
        <v>Surface du site situé dans une zone sensible pour la biodiversité</v>
      </c>
      <c r="B52" s="544" t="s">
        <v>10013</v>
      </c>
      <c r="C52" s="537" t="s">
        <v>10014</v>
      </c>
      <c r="D52" s="537" t="s">
        <v>10015</v>
      </c>
      <c r="E52" s="537" t="s">
        <v>10016</v>
      </c>
      <c r="F52" s="537" t="s">
        <v>10017</v>
      </c>
      <c r="G52" s="537" t="s">
        <v>10018</v>
      </c>
      <c r="H52" s="537" t="s">
        <v>10019</v>
      </c>
      <c r="I52" s="537" t="s">
        <v>10020</v>
      </c>
      <c r="J52" s="537" t="s">
        <v>10021</v>
      </c>
      <c r="K52" s="537" t="s">
        <v>10022</v>
      </c>
      <c r="L52" s="537" t="s">
        <v>10023</v>
      </c>
      <c r="M52" s="539" t="s">
        <v>10024</v>
      </c>
    </row>
    <row r="53" spans="1:13" ht="14.4" customHeight="1" x14ac:dyDescent="0.3">
      <c r="A53" s="4" t="str" cm="1">
        <f t="array" ref="A53">_xlfn.IFS(
template_selected_display_language='Footnote (Taxonomy) Labels'!$B$1,'Footnote (Taxonomy) Labels'!$B53,
template_selected_display_language='Footnote (Taxonomy) Labels'!$C$1,'Footnote (Taxonomy) Labels'!$C53,
template_selected_display_language='Footnote (Taxonomy) Labels'!$D$1,'Footnote (Taxonomy) Labels'!$D53,
template_selected_display_language='Footnote (Taxonomy) Labels'!$E$1,'Footnote (Taxonomy) Labels'!$E53,
template_selected_display_language='Footnote (Taxonomy) Labels'!$F$1,'Footnote (Taxonomy) Labels'!$F53,
template_selected_display_language='Footnote (Taxonomy) Labels'!$G$1,'Footnote (Taxonomy) Labels'!$G53,
template_selected_display_language='Footnote (Taxonomy) Labels'!$H$1,'Footnote (Taxonomy) Labels'!$H53,
template_selected_display_language='Footnote (Taxonomy) Labels'!$I$1,'Footnote (Taxonomy) Labels'!$I53,
template_selected_display_language='Footnote (Taxonomy) Labels'!$J$1,'Footnote (Taxonomy) Labels'!$J53,
template_selected_display_language='Footnote (Taxonomy) Labels'!$K$1,'Footnote (Taxonomy) Labels'!$K53,
template_selected_display_language='Footnote (Taxonomy) Labels'!$L$1,'Footnote (Taxonomy) Labels'!$L53,
template_selected_display_language='Footnote (Taxonomy) Labels'!$M$1,'Footnote (Taxonomy) Labels'!$M53
)</f>
        <v>Site situé dans une zone sensible sur le plan de la biodiversité</v>
      </c>
      <c r="B53" s="544" t="s">
        <v>6373</v>
      </c>
      <c r="C53" s="537" t="s">
        <v>10025</v>
      </c>
      <c r="D53" s="537" t="s">
        <v>6375</v>
      </c>
      <c r="E53" s="537" t="s">
        <v>6376</v>
      </c>
      <c r="F53" s="537" t="s">
        <v>10026</v>
      </c>
      <c r="G53" s="537" t="s">
        <v>10027</v>
      </c>
      <c r="H53" s="537" t="s">
        <v>6379</v>
      </c>
      <c r="I53" s="537" t="s">
        <v>6380</v>
      </c>
      <c r="J53" s="537" t="s">
        <v>10028</v>
      </c>
      <c r="K53" s="537" t="s">
        <v>10029</v>
      </c>
      <c r="L53" s="537" t="s">
        <v>10030</v>
      </c>
      <c r="M53" s="539" t="s">
        <v>10031</v>
      </c>
    </row>
    <row r="54" spans="1:13" ht="14.4" customHeight="1" x14ac:dyDescent="0.3">
      <c r="A54" s="4" t="str" cm="1">
        <f t="array" ref="A54">_xlfn.IFS(
template_selected_display_language='Footnote (Taxonomy) Labels'!$B$1,'Footnote (Taxonomy) Labels'!$B54,
template_selected_display_language='Footnote (Taxonomy) Labels'!$C$1,'Footnote (Taxonomy) Labels'!$C54,
template_selected_display_language='Footnote (Taxonomy) Labels'!$D$1,'Footnote (Taxonomy) Labels'!$D54,
template_selected_display_language='Footnote (Taxonomy) Labels'!$E$1,'Footnote (Taxonomy) Labels'!$E54,
template_selected_display_language='Footnote (Taxonomy) Labels'!$F$1,'Footnote (Taxonomy) Labels'!$F54,
template_selected_display_language='Footnote (Taxonomy) Labels'!$G$1,'Footnote (Taxonomy) Labels'!$G54,
template_selected_display_language='Footnote (Taxonomy) Labels'!$H$1,'Footnote (Taxonomy) Labels'!$H54,
template_selected_display_language='Footnote (Taxonomy) Labels'!$I$1,'Footnote (Taxonomy) Labels'!$I54,
template_selected_display_language='Footnote (Taxonomy) Labels'!$J$1,'Footnote (Taxonomy) Labels'!$J54,
template_selected_display_language='Footnote (Taxonomy) Labels'!$K$1,'Footnote (Taxonomy) Labels'!$K54,
template_selected_display_language='Footnote (Taxonomy) Labels'!$L$1,'Footnote (Taxonomy) Labels'!$L54,
template_selected_display_language='Footnote (Taxonomy) Labels'!$M$1,'Footnote (Taxonomy) Labels'!$M54
)</f>
        <v>Site situé à proximité d'une zone sensible sur le plan de la biodiversité</v>
      </c>
      <c r="B54" s="544" t="s">
        <v>6386</v>
      </c>
      <c r="C54" s="537" t="s">
        <v>10032</v>
      </c>
      <c r="D54" s="537" t="s">
        <v>6388</v>
      </c>
      <c r="E54" s="537" t="s">
        <v>6389</v>
      </c>
      <c r="F54" s="537" t="s">
        <v>10033</v>
      </c>
      <c r="G54" s="537" t="s">
        <v>10034</v>
      </c>
      <c r="H54" s="537" t="s">
        <v>6392</v>
      </c>
      <c r="I54" s="537" t="s">
        <v>10035</v>
      </c>
      <c r="J54" s="537" t="s">
        <v>10028</v>
      </c>
      <c r="K54" s="537" t="s">
        <v>10036</v>
      </c>
      <c r="L54" s="537" t="s">
        <v>10037</v>
      </c>
      <c r="M54" s="539" t="s">
        <v>10038</v>
      </c>
    </row>
    <row r="55" spans="1:13" ht="14.4" customHeight="1" x14ac:dyDescent="0.3">
      <c r="A55" s="4" t="str" cm="1">
        <f t="array" ref="A55">_xlfn.IFS(
template_selected_display_language='Footnote (Taxonomy) Labels'!$B$1,'Footnote (Taxonomy) Labels'!$B55,
template_selected_display_language='Footnote (Taxonomy) Labels'!$C$1,'Footnote (Taxonomy) Labels'!$C55,
template_selected_display_language='Footnote (Taxonomy) Labels'!$D$1,'Footnote (Taxonomy) Labels'!$D55,
template_selected_display_language='Footnote (Taxonomy) Labels'!$E$1,'Footnote (Taxonomy) Labels'!$E55,
template_selected_display_language='Footnote (Taxonomy) Labels'!$F$1,'Footnote (Taxonomy) Labels'!$F55,
template_selected_display_language='Footnote (Taxonomy) Labels'!$G$1,'Footnote (Taxonomy) Labels'!$G55,
template_selected_display_language='Footnote (Taxonomy) Labels'!$H$1,'Footnote (Taxonomy) Labels'!$H55,
template_selected_display_language='Footnote (Taxonomy) Labels'!$I$1,'Footnote (Taxonomy) Labels'!$I55,
template_selected_display_language='Footnote (Taxonomy) Labels'!$J$1,'Footnote (Taxonomy) Labels'!$J55,
template_selected_display_language='Footnote (Taxonomy) Labels'!$K$1,'Footnote (Taxonomy) Labels'!$K55,
template_selected_display_language='Footnote (Taxonomy) Labels'!$L$1,'Footnote (Taxonomy) Labels'!$L55,
template_selected_display_language='Footnote (Taxonomy) Labels'!$M$1,'Footnote (Taxonomy) Labels'!$M55
)</f>
        <v>Surface totale imperméabilisée</v>
      </c>
      <c r="B55" s="544" t="s">
        <v>6437</v>
      </c>
      <c r="C55" s="537" t="s">
        <v>10039</v>
      </c>
      <c r="D55" s="537" t="s">
        <v>6439</v>
      </c>
      <c r="E55" s="537" t="s">
        <v>6440</v>
      </c>
      <c r="F55" s="537" t="s">
        <v>6441</v>
      </c>
      <c r="G55" s="537" t="s">
        <v>6442</v>
      </c>
      <c r="H55" s="537" t="s">
        <v>6443</v>
      </c>
      <c r="I55" s="537" t="s">
        <v>6444</v>
      </c>
      <c r="J55" s="537" t="s">
        <v>6445</v>
      </c>
      <c r="K55" s="537" t="s">
        <v>6448</v>
      </c>
      <c r="L55" s="537" t="s">
        <v>10040</v>
      </c>
      <c r="M55" s="539" t="s">
        <v>6446</v>
      </c>
    </row>
    <row r="56" spans="1:13" ht="14.4" customHeight="1" x14ac:dyDescent="0.3">
      <c r="A56" s="4" t="str" cm="1">
        <f t="array" ref="A56">_xlfn.IFS(
template_selected_display_language='Footnote (Taxonomy) Labels'!$B$1,'Footnote (Taxonomy) Labels'!$B56,
template_selected_display_language='Footnote (Taxonomy) Labels'!$C$1,'Footnote (Taxonomy) Labels'!$C56,
template_selected_display_language='Footnote (Taxonomy) Labels'!$D$1,'Footnote (Taxonomy) Labels'!$D56,
template_selected_display_language='Footnote (Taxonomy) Labels'!$E$1,'Footnote (Taxonomy) Labels'!$E56,
template_selected_display_language='Footnote (Taxonomy) Labels'!$F$1,'Footnote (Taxonomy) Labels'!$F56,
template_selected_display_language='Footnote (Taxonomy) Labels'!$G$1,'Footnote (Taxonomy) Labels'!$G56,
template_selected_display_language='Footnote (Taxonomy) Labels'!$H$1,'Footnote (Taxonomy) Labels'!$H56,
template_selected_display_language='Footnote (Taxonomy) Labels'!$I$1,'Footnote (Taxonomy) Labels'!$I56,
template_selected_display_language='Footnote (Taxonomy) Labels'!$J$1,'Footnote (Taxonomy) Labels'!$J56,
template_selected_display_language='Footnote (Taxonomy) Labels'!$K$1,'Footnote (Taxonomy) Labels'!$K56,
template_selected_display_language='Footnote (Taxonomy) Labels'!$L$1,'Footnote (Taxonomy) Labels'!$L56,
template_selected_display_language='Footnote (Taxonomy) Labels'!$M$1,'Footnote (Taxonomy) Labels'!$M56
)</f>
        <v>Surface totale respectueuse de la nature sur le site</v>
      </c>
      <c r="B56" s="544" t="s">
        <v>10041</v>
      </c>
      <c r="C56" s="537" t="s">
        <v>10042</v>
      </c>
      <c r="D56" s="537" t="s">
        <v>10043</v>
      </c>
      <c r="E56" s="537" t="s">
        <v>6453</v>
      </c>
      <c r="F56" s="537" t="s">
        <v>6454</v>
      </c>
      <c r="G56" s="537" t="s">
        <v>10044</v>
      </c>
      <c r="H56" s="537" t="s">
        <v>6456</v>
      </c>
      <c r="I56" s="537" t="s">
        <v>6457</v>
      </c>
      <c r="J56" s="537" t="s">
        <v>6458</v>
      </c>
      <c r="K56" s="537" t="s">
        <v>6461</v>
      </c>
      <c r="L56" s="537" t="s">
        <v>10045</v>
      </c>
      <c r="M56" s="539" t="s">
        <v>6459</v>
      </c>
    </row>
    <row r="57" spans="1:13" ht="14.4" customHeight="1" x14ac:dyDescent="0.3">
      <c r="A57" s="4" t="str" cm="1">
        <f t="array" ref="A57">_xlfn.IFS(
template_selected_display_language='Footnote (Taxonomy) Labels'!$B$1,'Footnote (Taxonomy) Labels'!$B57,
template_selected_display_language='Footnote (Taxonomy) Labels'!$C$1,'Footnote (Taxonomy) Labels'!$C57,
template_selected_display_language='Footnote (Taxonomy) Labels'!$D$1,'Footnote (Taxonomy) Labels'!$D57,
template_selected_display_language='Footnote (Taxonomy) Labels'!$E$1,'Footnote (Taxonomy) Labels'!$E57,
template_selected_display_language='Footnote (Taxonomy) Labels'!$F$1,'Footnote (Taxonomy) Labels'!$F57,
template_selected_display_language='Footnote (Taxonomy) Labels'!$G$1,'Footnote (Taxonomy) Labels'!$G57,
template_selected_display_language='Footnote (Taxonomy) Labels'!$H$1,'Footnote (Taxonomy) Labels'!$H57,
template_selected_display_language='Footnote (Taxonomy) Labels'!$I$1,'Footnote (Taxonomy) Labels'!$I57,
template_selected_display_language='Footnote (Taxonomy) Labels'!$J$1,'Footnote (Taxonomy) Labels'!$J57,
template_selected_display_language='Footnote (Taxonomy) Labels'!$K$1,'Footnote (Taxonomy) Labels'!$K57,
template_selected_display_language='Footnote (Taxonomy) Labels'!$L$1,'Footnote (Taxonomy) Labels'!$L57,
template_selected_display_language='Footnote (Taxonomy) Labels'!$M$1,'Footnote (Taxonomy) Labels'!$M57
)</f>
        <v>Surface totale respectueuse de la nature hors site</v>
      </c>
      <c r="B57" s="544" t="s">
        <v>10046</v>
      </c>
      <c r="C57" s="537" t="s">
        <v>10047</v>
      </c>
      <c r="D57" s="537" t="s">
        <v>10048</v>
      </c>
      <c r="E57" s="537" t="s">
        <v>6466</v>
      </c>
      <c r="F57" s="537" t="s">
        <v>6467</v>
      </c>
      <c r="G57" s="537" t="s">
        <v>10049</v>
      </c>
      <c r="H57" s="537" t="s">
        <v>6469</v>
      </c>
      <c r="I57" s="537" t="s">
        <v>6470</v>
      </c>
      <c r="J57" s="537" t="s">
        <v>6471</v>
      </c>
      <c r="K57" s="537" t="s">
        <v>6474</v>
      </c>
      <c r="L57" s="537" t="s">
        <v>10050</v>
      </c>
      <c r="M57" s="539" t="s">
        <v>10051</v>
      </c>
    </row>
    <row r="58" spans="1:13" ht="14.4" customHeight="1" x14ac:dyDescent="0.3">
      <c r="A58" s="4" t="str" cm="1">
        <f t="array" ref="A58">_xlfn.IFS(
template_selected_display_language='Footnote (Taxonomy) Labels'!$B$1,'Footnote (Taxonomy) Labels'!$B58,
template_selected_display_language='Footnote (Taxonomy) Labels'!$C$1,'Footnote (Taxonomy) Labels'!$C58,
template_selected_display_language='Footnote (Taxonomy) Labels'!$D$1,'Footnote (Taxonomy) Labels'!$D58,
template_selected_display_language='Footnote (Taxonomy) Labels'!$E$1,'Footnote (Taxonomy) Labels'!$E58,
template_selected_display_language='Footnote (Taxonomy) Labels'!$F$1,'Footnote (Taxonomy) Labels'!$F58,
template_selected_display_language='Footnote (Taxonomy) Labels'!$G$1,'Footnote (Taxonomy) Labels'!$G58,
template_selected_display_language='Footnote (Taxonomy) Labels'!$H$1,'Footnote (Taxonomy) Labels'!$H58,
template_selected_display_language='Footnote (Taxonomy) Labels'!$I$1,'Footnote (Taxonomy) Labels'!$I58,
template_selected_display_language='Footnote (Taxonomy) Labels'!$J$1,'Footnote (Taxonomy) Labels'!$J58,
template_selected_display_language='Footnote (Taxonomy) Labels'!$K$1,'Footnote (Taxonomy) Labels'!$K58,
template_selected_display_language='Footnote (Taxonomy) Labels'!$L$1,'Footnote (Taxonomy) Labels'!$L58,
template_selected_display_language='Footnote (Taxonomy) Labels'!$M$1,'Footnote (Taxonomy) Labels'!$M58
)</f>
        <v>Utilisation totale des terres</v>
      </c>
      <c r="B58" s="544" t="s">
        <v>6476</v>
      </c>
      <c r="C58" s="537" t="s">
        <v>10052</v>
      </c>
      <c r="D58" s="537" t="s">
        <v>10053</v>
      </c>
      <c r="E58" s="537" t="s">
        <v>6479</v>
      </c>
      <c r="F58" s="537" t="s">
        <v>6480</v>
      </c>
      <c r="G58" s="537" t="s">
        <v>10054</v>
      </c>
      <c r="H58" s="537" t="s">
        <v>6482</v>
      </c>
      <c r="I58" s="537" t="s">
        <v>6483</v>
      </c>
      <c r="J58" s="537" t="s">
        <v>6484</v>
      </c>
      <c r="K58" s="537" t="s">
        <v>6487</v>
      </c>
      <c r="L58" s="537" t="s">
        <v>6486</v>
      </c>
      <c r="M58" s="539" t="s">
        <v>10055</v>
      </c>
    </row>
    <row r="59" spans="1:13" ht="14.4" customHeight="1" x14ac:dyDescent="0.3">
      <c r="A59" s="4" t="str" cm="1">
        <f t="array" ref="A59">_xlfn.IFS(
template_selected_display_language='Footnote (Taxonomy) Labels'!$B$1,'Footnote (Taxonomy) Labels'!$B59,
template_selected_display_language='Footnote (Taxonomy) Labels'!$C$1,'Footnote (Taxonomy) Labels'!$C59,
template_selected_display_language='Footnote (Taxonomy) Labels'!$D$1,'Footnote (Taxonomy) Labels'!$D59,
template_selected_display_language='Footnote (Taxonomy) Labels'!$E$1,'Footnote (Taxonomy) Labels'!$E59,
template_selected_display_language='Footnote (Taxonomy) Labels'!$F$1,'Footnote (Taxonomy) Labels'!$F59,
template_selected_display_language='Footnote (Taxonomy) Labels'!$G$1,'Footnote (Taxonomy) Labels'!$G59,
template_selected_display_language='Footnote (Taxonomy) Labels'!$H$1,'Footnote (Taxonomy) Labels'!$H59,
template_selected_display_language='Footnote (Taxonomy) Labels'!$I$1,'Footnote (Taxonomy) Labels'!$I59,
template_selected_display_language='Footnote (Taxonomy) Labels'!$J$1,'Footnote (Taxonomy) Labels'!$J59,
template_selected_display_language='Footnote (Taxonomy) Labels'!$K$1,'Footnote (Taxonomy) Labels'!$K59,
template_selected_display_language='Footnote (Taxonomy) Labels'!$L$1,'Footnote (Taxonomy) Labels'!$L59,
template_selected_display_language='Footnote (Taxonomy) Labels'!$M$1,'Footnote (Taxonomy) Labels'!$M59
)</f>
        <v>Quantité totale d'eau prélevée sur tous les sites</v>
      </c>
      <c r="B59" s="544" t="s">
        <v>10056</v>
      </c>
      <c r="C59" s="537" t="s">
        <v>10057</v>
      </c>
      <c r="D59" s="537" t="s">
        <v>10058</v>
      </c>
      <c r="E59" s="537" t="s">
        <v>10059</v>
      </c>
      <c r="F59" s="537" t="s">
        <v>10060</v>
      </c>
      <c r="G59" s="537" t="s">
        <v>10061</v>
      </c>
      <c r="H59" s="537" t="s">
        <v>10062</v>
      </c>
      <c r="I59" s="537" t="s">
        <v>10063</v>
      </c>
      <c r="J59" s="537" t="s">
        <v>10064</v>
      </c>
      <c r="K59" s="537" t="s">
        <v>10065</v>
      </c>
      <c r="L59" s="537" t="s">
        <v>10066</v>
      </c>
      <c r="M59" s="539" t="s">
        <v>10067</v>
      </c>
    </row>
    <row r="60" spans="1:13" ht="14.4" customHeight="1" x14ac:dyDescent="0.3">
      <c r="A60" s="4" t="str" cm="1">
        <f t="array" ref="A60">_xlfn.IFS(
template_selected_display_language='Footnote (Taxonomy) Labels'!$B$1,'Footnote (Taxonomy) Labels'!$B60,
template_selected_display_language='Footnote (Taxonomy) Labels'!$C$1,'Footnote (Taxonomy) Labels'!$C60,
template_selected_display_language='Footnote (Taxonomy) Labels'!$D$1,'Footnote (Taxonomy) Labels'!$D60,
template_selected_display_language='Footnote (Taxonomy) Labels'!$E$1,'Footnote (Taxonomy) Labels'!$E60,
template_selected_display_language='Footnote (Taxonomy) Labels'!$F$1,'Footnote (Taxonomy) Labels'!$F60,
template_selected_display_language='Footnote (Taxonomy) Labels'!$G$1,'Footnote (Taxonomy) Labels'!$G60,
template_selected_display_language='Footnote (Taxonomy) Labels'!$H$1,'Footnote (Taxonomy) Labels'!$H60,
template_selected_display_language='Footnote (Taxonomy) Labels'!$I$1,'Footnote (Taxonomy) Labels'!$I60,
template_selected_display_language='Footnote (Taxonomy) Labels'!$J$1,'Footnote (Taxonomy) Labels'!$J60,
template_selected_display_language='Footnote (Taxonomy) Labels'!$K$1,'Footnote (Taxonomy) Labels'!$K60,
template_selected_display_language='Footnote (Taxonomy) Labels'!$L$1,'Footnote (Taxonomy) Labels'!$L60,
template_selected_display_language='Footnote (Taxonomy) Labels'!$M$1,'Footnote (Taxonomy) Labels'!$M60
)</f>
        <v>Quantité d’eau prélevée sur les sites qui se situent dans des zones exposées à un stress hydrique élevé</v>
      </c>
      <c r="B60" s="544" t="s">
        <v>10068</v>
      </c>
      <c r="C60" s="537" t="s">
        <v>10069</v>
      </c>
      <c r="D60" s="537" t="s">
        <v>10070</v>
      </c>
      <c r="E60" s="537" t="s">
        <v>10071</v>
      </c>
      <c r="F60" s="537" t="s">
        <v>10072</v>
      </c>
      <c r="G60" s="537" t="s">
        <v>10073</v>
      </c>
      <c r="H60" s="537" t="s">
        <v>10074</v>
      </c>
      <c r="I60" s="537" t="s">
        <v>10075</v>
      </c>
      <c r="J60" s="537" t="s">
        <v>10076</v>
      </c>
      <c r="K60" s="537" t="s">
        <v>10077</v>
      </c>
      <c r="L60" s="537" t="s">
        <v>10078</v>
      </c>
      <c r="M60" s="539" t="s">
        <v>10079</v>
      </c>
    </row>
    <row r="61" spans="1:13" ht="14.4" customHeight="1" x14ac:dyDescent="0.3">
      <c r="A61" s="4" t="str" cm="1">
        <f t="array" ref="A61">_xlfn.IFS(
template_selected_display_language='Footnote (Taxonomy) Labels'!$B$1,'Footnote (Taxonomy) Labels'!$B61,
template_selected_display_language='Footnote (Taxonomy) Labels'!$C$1,'Footnote (Taxonomy) Labels'!$C61,
template_selected_display_language='Footnote (Taxonomy) Labels'!$D$1,'Footnote (Taxonomy) Labels'!$D61,
template_selected_display_language='Footnote (Taxonomy) Labels'!$E$1,'Footnote (Taxonomy) Labels'!$E61,
template_selected_display_language='Footnote (Taxonomy) Labels'!$F$1,'Footnote (Taxonomy) Labels'!$F61,
template_selected_display_language='Footnote (Taxonomy) Labels'!$G$1,'Footnote (Taxonomy) Labels'!$G61,
template_selected_display_language='Footnote (Taxonomy) Labels'!$H$1,'Footnote (Taxonomy) Labels'!$H61,
template_selected_display_language='Footnote (Taxonomy) Labels'!$I$1,'Footnote (Taxonomy) Labels'!$I61,
template_selected_display_language='Footnote (Taxonomy) Labels'!$J$1,'Footnote (Taxonomy) Labels'!$J61,
template_selected_display_language='Footnote (Taxonomy) Labels'!$K$1,'Footnote (Taxonomy) Labels'!$K61,
template_selected_display_language='Footnote (Taxonomy) Labels'!$L$1,'Footnote (Taxonomy) Labels'!$L61,
template_selected_display_language='Footnote (Taxonomy) Labels'!$M$1,'Footnote (Taxonomy) Labels'!$M61
)</f>
        <v>Rejets d’eau provenant des processus de production de l’entreprise</v>
      </c>
      <c r="B61" s="544" t="s">
        <v>10080</v>
      </c>
      <c r="C61" s="537" t="s">
        <v>10081</v>
      </c>
      <c r="D61" s="537" t="s">
        <v>10082</v>
      </c>
      <c r="E61" s="537" t="s">
        <v>10083</v>
      </c>
      <c r="F61" s="537" t="s">
        <v>10084</v>
      </c>
      <c r="G61" s="537" t="s">
        <v>10085</v>
      </c>
      <c r="H61" s="537" t="s">
        <v>10086</v>
      </c>
      <c r="I61" s="537" t="s">
        <v>10087</v>
      </c>
      <c r="J61" s="537" t="s">
        <v>10088</v>
      </c>
      <c r="K61" s="537" t="s">
        <v>10089</v>
      </c>
      <c r="L61" s="537" t="s">
        <v>10090</v>
      </c>
      <c r="M61" s="539" t="s">
        <v>10091</v>
      </c>
    </row>
    <row r="62" spans="1:13" ht="14.4" customHeight="1" x14ac:dyDescent="0.3">
      <c r="A62" s="4" t="str" cm="1">
        <f t="array" ref="A62">_xlfn.IFS(
template_selected_display_language='Footnote (Taxonomy) Labels'!$B$1,'Footnote (Taxonomy) Labels'!$B62,
template_selected_display_language='Footnote (Taxonomy) Labels'!$C$1,'Footnote (Taxonomy) Labels'!$C62,
template_selected_display_language='Footnote (Taxonomy) Labels'!$D$1,'Footnote (Taxonomy) Labels'!$D62,
template_selected_display_language='Footnote (Taxonomy) Labels'!$E$1,'Footnote (Taxonomy) Labels'!$E62,
template_selected_display_language='Footnote (Taxonomy) Labels'!$F$1,'Footnote (Taxonomy) Labels'!$F62,
template_selected_display_language='Footnote (Taxonomy) Labels'!$G$1,'Footnote (Taxonomy) Labels'!$G62,
template_selected_display_language='Footnote (Taxonomy) Labels'!$H$1,'Footnote (Taxonomy) Labels'!$H62,
template_selected_display_language='Footnote (Taxonomy) Labels'!$I$1,'Footnote (Taxonomy) Labels'!$I62,
template_selected_display_language='Footnote (Taxonomy) Labels'!$J$1,'Footnote (Taxonomy) Labels'!$J62,
template_selected_display_language='Footnote (Taxonomy) Labels'!$K$1,'Footnote (Taxonomy) Labels'!$K62,
template_selected_display_language='Footnote (Taxonomy) Labels'!$L$1,'Footnote (Taxonomy) Labels'!$L62,
template_selected_display_language='Footnote (Taxonomy) Labels'!$M$1,'Footnote (Taxonomy) Labels'!$M62
)</f>
        <v>Consommation totale d’eau</v>
      </c>
      <c r="B62" s="544" t="s">
        <v>10092</v>
      </c>
      <c r="C62" s="537" t="s">
        <v>10093</v>
      </c>
      <c r="D62" s="537" t="s">
        <v>10094</v>
      </c>
      <c r="E62" s="537" t="s">
        <v>10095</v>
      </c>
      <c r="F62" s="537" t="s">
        <v>10096</v>
      </c>
      <c r="G62" s="537" t="s">
        <v>10097</v>
      </c>
      <c r="H62" s="537" t="s">
        <v>10098</v>
      </c>
      <c r="I62" s="537" t="s">
        <v>10099</v>
      </c>
      <c r="J62" s="537" t="s">
        <v>10100</v>
      </c>
      <c r="K62" s="537" t="s">
        <v>10101</v>
      </c>
      <c r="L62" s="537" t="s">
        <v>10102</v>
      </c>
      <c r="M62" s="539" t="s">
        <v>10103</v>
      </c>
    </row>
    <row r="63" spans="1:13" ht="14.4" customHeight="1" x14ac:dyDescent="0.3">
      <c r="A63" s="4" t="str" cm="1">
        <f t="array" ref="A63">_xlfn.IFS(
template_selected_display_language='Footnote (Taxonomy) Labels'!$B$1,'Footnote (Taxonomy) Labels'!$B63,
template_selected_display_language='Footnote (Taxonomy) Labels'!$C$1,'Footnote (Taxonomy) Labels'!$C63,
template_selected_display_language='Footnote (Taxonomy) Labels'!$D$1,'Footnote (Taxonomy) Labels'!$D63,
template_selected_display_language='Footnote (Taxonomy) Labels'!$E$1,'Footnote (Taxonomy) Labels'!$E63,
template_selected_display_language='Footnote (Taxonomy) Labels'!$F$1,'Footnote (Taxonomy) Labels'!$F63,
template_selected_display_language='Footnote (Taxonomy) Labels'!$G$1,'Footnote (Taxonomy) Labels'!$G63,
template_selected_display_language='Footnote (Taxonomy) Labels'!$H$1,'Footnote (Taxonomy) Labels'!$H63,
template_selected_display_language='Footnote (Taxonomy) Labels'!$I$1,'Footnote (Taxonomy) Labels'!$I63,
template_selected_display_language='Footnote (Taxonomy) Labels'!$J$1,'Footnote (Taxonomy) Labels'!$J63,
template_selected_display_language='Footnote (Taxonomy) Labels'!$K$1,'Footnote (Taxonomy) Labels'!$K63,
template_selected_display_language='Footnote (Taxonomy) Labels'!$L$1,'Footnote (Taxonomy) Labels'!$L63,
template_selected_display_language='Footnote (Taxonomy) Labels'!$M$1,'Footnote (Taxonomy) Labels'!$M63
)</f>
        <v>L’entreprise applique les principes de l’économie circulaire</v>
      </c>
      <c r="B63" s="544" t="s">
        <v>6593</v>
      </c>
      <c r="C63" s="537" t="s">
        <v>10104</v>
      </c>
      <c r="D63" s="537" t="s">
        <v>10105</v>
      </c>
      <c r="E63" s="537" t="s">
        <v>6596</v>
      </c>
      <c r="F63" s="537" t="s">
        <v>10106</v>
      </c>
      <c r="G63" s="537" t="s">
        <v>6598</v>
      </c>
      <c r="H63" s="537" t="s">
        <v>6599</v>
      </c>
      <c r="I63" s="537" t="s">
        <v>6600</v>
      </c>
      <c r="J63" s="537" t="s">
        <v>6601</v>
      </c>
      <c r="K63" s="537" t="s">
        <v>10107</v>
      </c>
      <c r="L63" s="537" t="s">
        <v>6603</v>
      </c>
      <c r="M63" s="539" t="s">
        <v>6602</v>
      </c>
    </row>
    <row r="64" spans="1:13" ht="14.4" customHeight="1" x14ac:dyDescent="0.3">
      <c r="A64" s="4" t="str" cm="1">
        <f t="array" ref="A64">_xlfn.IFS(
template_selected_display_language='Footnote (Taxonomy) Labels'!$B$1,'Footnote (Taxonomy) Labels'!$B64,
template_selected_display_language='Footnote (Taxonomy) Labels'!$C$1,'Footnote (Taxonomy) Labels'!$C64,
template_selected_display_language='Footnote (Taxonomy) Labels'!$D$1,'Footnote (Taxonomy) Labels'!$D64,
template_selected_display_language='Footnote (Taxonomy) Labels'!$E$1,'Footnote (Taxonomy) Labels'!$E64,
template_selected_display_language='Footnote (Taxonomy) Labels'!$F$1,'Footnote (Taxonomy) Labels'!$F64,
template_selected_display_language='Footnote (Taxonomy) Labels'!$G$1,'Footnote (Taxonomy) Labels'!$G64,
template_selected_display_language='Footnote (Taxonomy) Labels'!$H$1,'Footnote (Taxonomy) Labels'!$H64,
template_selected_display_language='Footnote (Taxonomy) Labels'!$I$1,'Footnote (Taxonomy) Labels'!$I64,
template_selected_display_language='Footnote (Taxonomy) Labels'!$J$1,'Footnote (Taxonomy) Labels'!$J64,
template_selected_display_language='Footnote (Taxonomy) Labels'!$K$1,'Footnote (Taxonomy) Labels'!$K64,
template_selected_display_language='Footnote (Taxonomy) Labels'!$L$1,'Footnote (Taxonomy) Labels'!$L64,
template_selected_display_language='Footnote (Taxonomy) Labels'!$M$1,'Footnote (Taxonomy) Labels'!$M64
)</f>
        <v>Description de la manière dont les principes de l’économie circulaire sont appliqués</v>
      </c>
      <c r="B64" s="544" t="s">
        <v>10108</v>
      </c>
      <c r="C64" s="537" t="s">
        <v>10109</v>
      </c>
      <c r="D64" s="537" t="s">
        <v>10110</v>
      </c>
      <c r="E64" s="537" t="s">
        <v>10111</v>
      </c>
      <c r="F64" s="537" t="s">
        <v>10112</v>
      </c>
      <c r="G64" s="537" t="s">
        <v>10113</v>
      </c>
      <c r="H64" s="537" t="s">
        <v>10114</v>
      </c>
      <c r="I64" s="537" t="s">
        <v>10115</v>
      </c>
      <c r="J64" s="537" t="s">
        <v>10116</v>
      </c>
      <c r="K64" s="537" t="s">
        <v>10117</v>
      </c>
      <c r="L64" s="537" t="s">
        <v>10118</v>
      </c>
      <c r="M64" s="539" t="s">
        <v>10119</v>
      </c>
    </row>
    <row r="65" spans="1:13" ht="14.4" customHeight="1" x14ac:dyDescent="0.3">
      <c r="A65" s="4" t="str" cm="1">
        <f t="array" ref="A65">_xlfn.IFS(
template_selected_display_language='Footnote (Taxonomy) Labels'!$B$1,'Footnote (Taxonomy) Labels'!$B65,
template_selected_display_language='Footnote (Taxonomy) Labels'!$C$1,'Footnote (Taxonomy) Labels'!$C65,
template_selected_display_language='Footnote (Taxonomy) Labels'!$D$1,'Footnote (Taxonomy) Labels'!$D65,
template_selected_display_language='Footnote (Taxonomy) Labels'!$E$1,'Footnote (Taxonomy) Labels'!$E65,
template_selected_display_language='Footnote (Taxonomy) Labels'!$F$1,'Footnote (Taxonomy) Labels'!$F65,
template_selected_display_language='Footnote (Taxonomy) Labels'!$G$1,'Footnote (Taxonomy) Labels'!$G65,
template_selected_display_language='Footnote (Taxonomy) Labels'!$H$1,'Footnote (Taxonomy) Labels'!$H65,
template_selected_display_language='Footnote (Taxonomy) Labels'!$I$1,'Footnote (Taxonomy) Labels'!$I65,
template_selected_display_language='Footnote (Taxonomy) Labels'!$J$1,'Footnote (Taxonomy) Labels'!$J65,
template_selected_display_language='Footnote (Taxonomy) Labels'!$K$1,'Footnote (Taxonomy) Labels'!$K65,
template_selected_display_language='Footnote (Taxonomy) Labels'!$L$1,'Footnote (Taxonomy) Labels'!$L65,
template_selected_display_language='Footnote (Taxonomy) Labels'!$M$1,'Footnote (Taxonomy) Labels'!$M65
)</f>
        <v>Déchets destinés à être recyclés ou réutilisés (en volume)</v>
      </c>
      <c r="B65" s="544" t="s">
        <v>10120</v>
      </c>
      <c r="C65" s="537" t="s">
        <v>10121</v>
      </c>
      <c r="D65" s="537" t="s">
        <v>10122</v>
      </c>
      <c r="E65" s="537" t="s">
        <v>10123</v>
      </c>
      <c r="F65" s="537" t="s">
        <v>10124</v>
      </c>
      <c r="G65" s="537" t="s">
        <v>10125</v>
      </c>
      <c r="H65" s="537" t="s">
        <v>10126</v>
      </c>
      <c r="I65" s="537" t="s">
        <v>10127</v>
      </c>
      <c r="J65" s="537" t="s">
        <v>10128</v>
      </c>
      <c r="K65" s="537" t="s">
        <v>10129</v>
      </c>
      <c r="L65" s="537" t="s">
        <v>10130</v>
      </c>
      <c r="M65" s="539" t="s">
        <v>10131</v>
      </c>
    </row>
    <row r="66" spans="1:13" ht="14.4" customHeight="1" x14ac:dyDescent="0.3">
      <c r="A66" s="4" t="str" cm="1">
        <f t="array" ref="A66">_xlfn.IFS(
template_selected_display_language='Footnote (Taxonomy) Labels'!$B$1,'Footnote (Taxonomy) Labels'!$B66,
template_selected_display_language='Footnote (Taxonomy) Labels'!$C$1,'Footnote (Taxonomy) Labels'!$C66,
template_selected_display_language='Footnote (Taxonomy) Labels'!$D$1,'Footnote (Taxonomy) Labels'!$D66,
template_selected_display_language='Footnote (Taxonomy) Labels'!$E$1,'Footnote (Taxonomy) Labels'!$E66,
template_selected_display_language='Footnote (Taxonomy) Labels'!$F$1,'Footnote (Taxonomy) Labels'!$F66,
template_selected_display_language='Footnote (Taxonomy) Labels'!$G$1,'Footnote (Taxonomy) Labels'!$G66,
template_selected_display_language='Footnote (Taxonomy) Labels'!$H$1,'Footnote (Taxonomy) Labels'!$H66,
template_selected_display_language='Footnote (Taxonomy) Labels'!$I$1,'Footnote (Taxonomy) Labels'!$I66,
template_selected_display_language='Footnote (Taxonomy) Labels'!$J$1,'Footnote (Taxonomy) Labels'!$J66,
template_selected_display_language='Footnote (Taxonomy) Labels'!$K$1,'Footnote (Taxonomy) Labels'!$K66,
template_selected_display_language='Footnote (Taxonomy) Labels'!$L$1,'Footnote (Taxonomy) Labels'!$L66,
template_selected_display_language='Footnote (Taxonomy) Labels'!$M$1,'Footnote (Taxonomy) Labels'!$M66
)</f>
        <v>Déchets destinés à être recyclés ou réutilisés (en masse)</v>
      </c>
      <c r="B66" s="544" t="s">
        <v>10132</v>
      </c>
      <c r="C66" s="537" t="s">
        <v>10133</v>
      </c>
      <c r="D66" s="537" t="s">
        <v>10134</v>
      </c>
      <c r="E66" s="537" t="s">
        <v>10135</v>
      </c>
      <c r="F66" s="537" t="s">
        <v>10136</v>
      </c>
      <c r="G66" s="537" t="s">
        <v>10137</v>
      </c>
      <c r="H66" s="537" t="s">
        <v>10138</v>
      </c>
      <c r="I66" s="537" t="s">
        <v>10139</v>
      </c>
      <c r="J66" s="537" t="s">
        <v>10140</v>
      </c>
      <c r="K66" s="537" t="s">
        <v>10141</v>
      </c>
      <c r="L66" s="537" t="s">
        <v>10142</v>
      </c>
      <c r="M66" s="539" t="s">
        <v>10143</v>
      </c>
    </row>
    <row r="67" spans="1:13" ht="14.4" customHeight="1" x14ac:dyDescent="0.3">
      <c r="A67" s="4" t="str" cm="1">
        <f t="array" ref="A67">_xlfn.IFS(
template_selected_display_language='Footnote (Taxonomy) Labels'!$B$1,'Footnote (Taxonomy) Labels'!$B67,
template_selected_display_language='Footnote (Taxonomy) Labels'!$C$1,'Footnote (Taxonomy) Labels'!$C67,
template_selected_display_language='Footnote (Taxonomy) Labels'!$D$1,'Footnote (Taxonomy) Labels'!$D67,
template_selected_display_language='Footnote (Taxonomy) Labels'!$E$1,'Footnote (Taxonomy) Labels'!$E67,
template_selected_display_language='Footnote (Taxonomy) Labels'!$F$1,'Footnote (Taxonomy) Labels'!$F67,
template_selected_display_language='Footnote (Taxonomy) Labels'!$G$1,'Footnote (Taxonomy) Labels'!$G67,
template_selected_display_language='Footnote (Taxonomy) Labels'!$H$1,'Footnote (Taxonomy) Labels'!$H67,
template_selected_display_language='Footnote (Taxonomy) Labels'!$I$1,'Footnote (Taxonomy) Labels'!$I67,
template_selected_display_language='Footnote (Taxonomy) Labels'!$J$1,'Footnote (Taxonomy) Labels'!$J67,
template_selected_display_language='Footnote (Taxonomy) Labels'!$K$1,'Footnote (Taxonomy) Labels'!$K67,
template_selected_display_language='Footnote (Taxonomy) Labels'!$L$1,'Footnote (Taxonomy) Labels'!$L67,
template_selected_display_language='Footnote (Taxonomy) Labels'!$M$1,'Footnote (Taxonomy) Labels'!$M67
)</f>
        <v>Déchets destinés à être éliminés (en volume)</v>
      </c>
      <c r="B67" s="544" t="s">
        <v>10144</v>
      </c>
      <c r="C67" s="537" t="s">
        <v>10145</v>
      </c>
      <c r="D67" s="537" t="s">
        <v>10146</v>
      </c>
      <c r="E67" s="537" t="s">
        <v>10147</v>
      </c>
      <c r="F67" s="537" t="s">
        <v>10148</v>
      </c>
      <c r="G67" s="537" t="s">
        <v>10149</v>
      </c>
      <c r="H67" s="537" t="s">
        <v>10150</v>
      </c>
      <c r="I67" s="537" t="s">
        <v>10151</v>
      </c>
      <c r="J67" s="537" t="s">
        <v>10152</v>
      </c>
      <c r="K67" s="537" t="s">
        <v>10153</v>
      </c>
      <c r="L67" s="537" t="s">
        <v>10154</v>
      </c>
      <c r="M67" s="539" t="s">
        <v>10155</v>
      </c>
    </row>
    <row r="68" spans="1:13" ht="14.4" customHeight="1" x14ac:dyDescent="0.3">
      <c r="A68" s="4" t="str" cm="1">
        <f t="array" ref="A68">_xlfn.IFS(
template_selected_display_language='Footnote (Taxonomy) Labels'!$B$1,'Footnote (Taxonomy) Labels'!$B68,
template_selected_display_language='Footnote (Taxonomy) Labels'!$C$1,'Footnote (Taxonomy) Labels'!$C68,
template_selected_display_language='Footnote (Taxonomy) Labels'!$D$1,'Footnote (Taxonomy) Labels'!$D68,
template_selected_display_language='Footnote (Taxonomy) Labels'!$E$1,'Footnote (Taxonomy) Labels'!$E68,
template_selected_display_language='Footnote (Taxonomy) Labels'!$F$1,'Footnote (Taxonomy) Labels'!$F68,
template_selected_display_language='Footnote (Taxonomy) Labels'!$G$1,'Footnote (Taxonomy) Labels'!$G68,
template_selected_display_language='Footnote (Taxonomy) Labels'!$H$1,'Footnote (Taxonomy) Labels'!$H68,
template_selected_display_language='Footnote (Taxonomy) Labels'!$I$1,'Footnote (Taxonomy) Labels'!$I68,
template_selected_display_language='Footnote (Taxonomy) Labels'!$J$1,'Footnote (Taxonomy) Labels'!$J68,
template_selected_display_language='Footnote (Taxonomy) Labels'!$K$1,'Footnote (Taxonomy) Labels'!$K68,
template_selected_display_language='Footnote (Taxonomy) Labels'!$L$1,'Footnote (Taxonomy) Labels'!$L68,
template_selected_display_language='Footnote (Taxonomy) Labels'!$M$1,'Footnote (Taxonomy) Labels'!$M68
)</f>
        <v>Déchets destinés à être éliminés (en masse)</v>
      </c>
      <c r="B68" s="544" t="s">
        <v>10156</v>
      </c>
      <c r="C68" s="537" t="s">
        <v>10157</v>
      </c>
      <c r="D68" s="537" t="s">
        <v>10158</v>
      </c>
      <c r="E68" s="537" t="s">
        <v>10159</v>
      </c>
      <c r="F68" s="537" t="s">
        <v>10160</v>
      </c>
      <c r="G68" s="537" t="s">
        <v>10149</v>
      </c>
      <c r="H68" s="537" t="s">
        <v>10161</v>
      </c>
      <c r="I68" s="537" t="s">
        <v>10162</v>
      </c>
      <c r="J68" s="537" t="s">
        <v>10163</v>
      </c>
      <c r="K68" s="537" t="s">
        <v>10164</v>
      </c>
      <c r="L68" s="537" t="s">
        <v>10165</v>
      </c>
      <c r="M68" s="539" t="s">
        <v>10166</v>
      </c>
    </row>
    <row r="69" spans="1:13" ht="14.4" customHeight="1" x14ac:dyDescent="0.3">
      <c r="A69" s="4" t="str" cm="1">
        <f t="array" ref="A69">_xlfn.IFS(
template_selected_display_language='Footnote (Taxonomy) Labels'!$B$1,'Footnote (Taxonomy) Labels'!$B69,
template_selected_display_language='Footnote (Taxonomy) Labels'!$C$1,'Footnote (Taxonomy) Labels'!$C69,
template_selected_display_language='Footnote (Taxonomy) Labels'!$D$1,'Footnote (Taxonomy) Labels'!$D69,
template_selected_display_language='Footnote (Taxonomy) Labels'!$E$1,'Footnote (Taxonomy) Labels'!$E69,
template_selected_display_language='Footnote (Taxonomy) Labels'!$F$1,'Footnote (Taxonomy) Labels'!$F69,
template_selected_display_language='Footnote (Taxonomy) Labels'!$G$1,'Footnote (Taxonomy) Labels'!$G69,
template_selected_display_language='Footnote (Taxonomy) Labels'!$H$1,'Footnote (Taxonomy) Labels'!$H69,
template_selected_display_language='Footnote (Taxonomy) Labels'!$I$1,'Footnote (Taxonomy) Labels'!$I69,
template_selected_display_language='Footnote (Taxonomy) Labels'!$J$1,'Footnote (Taxonomy) Labels'!$J69,
template_selected_display_language='Footnote (Taxonomy) Labels'!$K$1,'Footnote (Taxonomy) Labels'!$K69,
template_selected_display_language='Footnote (Taxonomy) Labels'!$L$1,'Footnote (Taxonomy) Labels'!$L69,
template_selected_display_language='Footnote (Taxonomy) Labels'!$M$1,'Footnote (Taxonomy) Labels'!$M69
)</f>
        <v>Total des déchets recyclés, réutilisés et destinés à être éliminés (en volume)</v>
      </c>
      <c r="B69" s="544" t="s">
        <v>10167</v>
      </c>
      <c r="C69" s="537" t="s">
        <v>10168</v>
      </c>
      <c r="D69" s="537" t="s">
        <v>10169</v>
      </c>
      <c r="E69" s="537" t="s">
        <v>10170</v>
      </c>
      <c r="F69" s="537" t="s">
        <v>10171</v>
      </c>
      <c r="G69" s="537" t="s">
        <v>10172</v>
      </c>
      <c r="H69" s="537" t="s">
        <v>10173</v>
      </c>
      <c r="I69" s="537" t="s">
        <v>10174</v>
      </c>
      <c r="J69" s="537" t="s">
        <v>10175</v>
      </c>
      <c r="K69" s="537" t="s">
        <v>10176</v>
      </c>
      <c r="L69" s="537" t="s">
        <v>10177</v>
      </c>
      <c r="M69" s="539" t="s">
        <v>10178</v>
      </c>
    </row>
    <row r="70" spans="1:13" ht="14.4" customHeight="1" x14ac:dyDescent="0.3">
      <c r="A70" s="4" t="str" cm="1">
        <f t="array" ref="A70">_xlfn.IFS(
template_selected_display_language='Footnote (Taxonomy) Labels'!$B$1,'Footnote (Taxonomy) Labels'!$B70,
template_selected_display_language='Footnote (Taxonomy) Labels'!$C$1,'Footnote (Taxonomy) Labels'!$C70,
template_selected_display_language='Footnote (Taxonomy) Labels'!$D$1,'Footnote (Taxonomy) Labels'!$D70,
template_selected_display_language='Footnote (Taxonomy) Labels'!$E$1,'Footnote (Taxonomy) Labels'!$E70,
template_selected_display_language='Footnote (Taxonomy) Labels'!$F$1,'Footnote (Taxonomy) Labels'!$F70,
template_selected_display_language='Footnote (Taxonomy) Labels'!$G$1,'Footnote (Taxonomy) Labels'!$G70,
template_selected_display_language='Footnote (Taxonomy) Labels'!$H$1,'Footnote (Taxonomy) Labels'!$H70,
template_selected_display_language='Footnote (Taxonomy) Labels'!$I$1,'Footnote (Taxonomy) Labels'!$I70,
template_selected_display_language='Footnote (Taxonomy) Labels'!$J$1,'Footnote (Taxonomy) Labels'!$J70,
template_selected_display_language='Footnote (Taxonomy) Labels'!$K$1,'Footnote (Taxonomy) Labels'!$K70,
template_selected_display_language='Footnote (Taxonomy) Labels'!$L$1,'Footnote (Taxonomy) Labels'!$L70,
template_selected_display_language='Footnote (Taxonomy) Labels'!$M$1,'Footnote (Taxonomy) Labels'!$M70
)</f>
        <v>Total des déchets recyclés, réutilisés et destinés à être éliminés (en masse)</v>
      </c>
      <c r="B70" s="544" t="s">
        <v>10179</v>
      </c>
      <c r="C70" s="537" t="s">
        <v>10180</v>
      </c>
      <c r="D70" s="537" t="s">
        <v>10181</v>
      </c>
      <c r="E70" s="537" t="s">
        <v>10182</v>
      </c>
      <c r="F70" s="537" t="s">
        <v>10183</v>
      </c>
      <c r="G70" s="537" t="s">
        <v>10184</v>
      </c>
      <c r="H70" s="537" t="s">
        <v>10173</v>
      </c>
      <c r="I70" s="537" t="s">
        <v>10185</v>
      </c>
      <c r="J70" s="537" t="s">
        <v>10186</v>
      </c>
      <c r="K70" s="537" t="s">
        <v>10187</v>
      </c>
      <c r="L70" s="537" t="s">
        <v>10188</v>
      </c>
      <c r="M70" s="539" t="s">
        <v>10189</v>
      </c>
    </row>
    <row r="71" spans="1:13" ht="14.4" customHeight="1" x14ac:dyDescent="0.3">
      <c r="A71" s="4" t="str" cm="1">
        <f t="array" ref="A71">_xlfn.IFS(
template_selected_display_language='Footnote (Taxonomy) Labels'!$B$1,'Footnote (Taxonomy) Labels'!$B71,
template_selected_display_language='Footnote (Taxonomy) Labels'!$C$1,'Footnote (Taxonomy) Labels'!$C71,
template_selected_display_language='Footnote (Taxonomy) Labels'!$D$1,'Footnote (Taxonomy) Labels'!$D71,
template_selected_display_language='Footnote (Taxonomy) Labels'!$E$1,'Footnote (Taxonomy) Labels'!$E71,
template_selected_display_language='Footnote (Taxonomy) Labels'!$F$1,'Footnote (Taxonomy) Labels'!$F71,
template_selected_display_language='Footnote (Taxonomy) Labels'!$G$1,'Footnote (Taxonomy) Labels'!$G71,
template_selected_display_language='Footnote (Taxonomy) Labels'!$H$1,'Footnote (Taxonomy) Labels'!$H71,
template_selected_display_language='Footnote (Taxonomy) Labels'!$I$1,'Footnote (Taxonomy) Labels'!$I71,
template_selected_display_language='Footnote (Taxonomy) Labels'!$J$1,'Footnote (Taxonomy) Labels'!$J71,
template_selected_display_language='Footnote (Taxonomy) Labels'!$K$1,'Footnote (Taxonomy) Labels'!$K71,
template_selected_display_language='Footnote (Taxonomy) Labels'!$L$1,'Footnote (Taxonomy) Labels'!$L71,
template_selected_display_language='Footnote (Taxonomy) Labels'!$M$1,'Footnote (Taxonomy) Labels'!$M71
)</f>
        <v>Total des déchets dangereux produits (en masse)</v>
      </c>
      <c r="B71" s="544" t="s">
        <v>6696</v>
      </c>
      <c r="C71" s="537" t="s">
        <v>10190</v>
      </c>
      <c r="D71" s="537" t="s">
        <v>10191</v>
      </c>
      <c r="E71" s="537" t="s">
        <v>6699</v>
      </c>
      <c r="F71" s="537" t="s">
        <v>10192</v>
      </c>
      <c r="G71" s="537" t="s">
        <v>10193</v>
      </c>
      <c r="H71" s="537" t="s">
        <v>6702</v>
      </c>
      <c r="I71" s="537" t="s">
        <v>10194</v>
      </c>
      <c r="J71" s="537" t="s">
        <v>6704</v>
      </c>
      <c r="K71" s="537" t="s">
        <v>10195</v>
      </c>
      <c r="L71" s="537" t="s">
        <v>6706</v>
      </c>
      <c r="M71" s="539" t="s">
        <v>10196</v>
      </c>
    </row>
    <row r="72" spans="1:13" ht="14.4" customHeight="1" x14ac:dyDescent="0.3">
      <c r="A72" s="4" t="str" cm="1">
        <f t="array" ref="A72">_xlfn.IFS(
template_selected_display_language='Footnote (Taxonomy) Labels'!$B$1,'Footnote (Taxonomy) Labels'!$B72,
template_selected_display_language='Footnote (Taxonomy) Labels'!$C$1,'Footnote (Taxonomy) Labels'!$C72,
template_selected_display_language='Footnote (Taxonomy) Labels'!$D$1,'Footnote (Taxonomy) Labels'!$D72,
template_selected_display_language='Footnote (Taxonomy) Labels'!$E$1,'Footnote (Taxonomy) Labels'!$E72,
template_selected_display_language='Footnote (Taxonomy) Labels'!$F$1,'Footnote (Taxonomy) Labels'!$F72,
template_selected_display_language='Footnote (Taxonomy) Labels'!$G$1,'Footnote (Taxonomy) Labels'!$G72,
template_selected_display_language='Footnote (Taxonomy) Labels'!$H$1,'Footnote (Taxonomy) Labels'!$H72,
template_selected_display_language='Footnote (Taxonomy) Labels'!$I$1,'Footnote (Taxonomy) Labels'!$I72,
template_selected_display_language='Footnote (Taxonomy) Labels'!$J$1,'Footnote (Taxonomy) Labels'!$J72,
template_selected_display_language='Footnote (Taxonomy) Labels'!$K$1,'Footnote (Taxonomy) Labels'!$K72,
template_selected_display_language='Footnote (Taxonomy) Labels'!$L$1,'Footnote (Taxonomy) Labels'!$L72,
template_selected_display_language='Footnote (Taxonomy) Labels'!$M$1,'Footnote (Taxonomy) Labels'!$M72
)</f>
        <v>Total des déchets non dangereux produits (en masse)</v>
      </c>
      <c r="B72" s="544" t="s">
        <v>6722</v>
      </c>
      <c r="C72" s="537" t="s">
        <v>10197</v>
      </c>
      <c r="D72" s="537" t="s">
        <v>10198</v>
      </c>
      <c r="E72" s="537" t="s">
        <v>6725</v>
      </c>
      <c r="F72" s="537" t="s">
        <v>10199</v>
      </c>
      <c r="G72" s="537" t="s">
        <v>10200</v>
      </c>
      <c r="H72" s="537" t="s">
        <v>6728</v>
      </c>
      <c r="I72" s="537" t="s">
        <v>6729</v>
      </c>
      <c r="J72" s="537" t="s">
        <v>6730</v>
      </c>
      <c r="K72" s="537" t="s">
        <v>10201</v>
      </c>
      <c r="L72" s="537" t="s">
        <v>6732</v>
      </c>
      <c r="M72" s="539" t="s">
        <v>10202</v>
      </c>
    </row>
    <row r="73" spans="1:13" ht="14.4" customHeight="1" x14ac:dyDescent="0.3">
      <c r="A73" s="4" t="str" cm="1">
        <f t="array" ref="A73">_xlfn.IFS(
template_selected_display_language='Footnote (Taxonomy) Labels'!$B$1,'Footnote (Taxonomy) Labels'!$B73,
template_selected_display_language='Footnote (Taxonomy) Labels'!$C$1,'Footnote (Taxonomy) Labels'!$C73,
template_selected_display_language='Footnote (Taxonomy) Labels'!$D$1,'Footnote (Taxonomy) Labels'!$D73,
template_selected_display_language='Footnote (Taxonomy) Labels'!$E$1,'Footnote (Taxonomy) Labels'!$E73,
template_selected_display_language='Footnote (Taxonomy) Labels'!$F$1,'Footnote (Taxonomy) Labels'!$F73,
template_selected_display_language='Footnote (Taxonomy) Labels'!$G$1,'Footnote (Taxonomy) Labels'!$G73,
template_selected_display_language='Footnote (Taxonomy) Labels'!$H$1,'Footnote (Taxonomy) Labels'!$H73,
template_selected_display_language='Footnote (Taxonomy) Labels'!$I$1,'Footnote (Taxonomy) Labels'!$I73,
template_selected_display_language='Footnote (Taxonomy) Labels'!$J$1,'Footnote (Taxonomy) Labels'!$J73,
template_selected_display_language='Footnote (Taxonomy) Labels'!$K$1,'Footnote (Taxonomy) Labels'!$K73,
template_selected_display_language='Footnote (Taxonomy) Labels'!$L$1,'Footnote (Taxonomy) Labels'!$L73,
template_selected_display_language='Footnote (Taxonomy) Labels'!$M$1,'Footnote (Taxonomy) Labels'!$M73
)</f>
        <v>Total des déchets produits (en masse)</v>
      </c>
      <c r="B73" s="544" t="s">
        <v>6735</v>
      </c>
      <c r="C73" s="537" t="s">
        <v>10203</v>
      </c>
      <c r="D73" s="537" t="s">
        <v>10204</v>
      </c>
      <c r="E73" s="537" t="s">
        <v>6738</v>
      </c>
      <c r="F73" s="537" t="s">
        <v>10205</v>
      </c>
      <c r="G73" s="537" t="s">
        <v>10206</v>
      </c>
      <c r="H73" s="537" t="s">
        <v>6741</v>
      </c>
      <c r="I73" s="537" t="s">
        <v>10207</v>
      </c>
      <c r="J73" s="537" t="s">
        <v>10208</v>
      </c>
      <c r="K73" s="537" t="s">
        <v>6746</v>
      </c>
      <c r="L73" s="537" t="s">
        <v>10209</v>
      </c>
      <c r="M73" s="539" t="s">
        <v>10210</v>
      </c>
    </row>
    <row r="74" spans="1:13" ht="14.4" customHeight="1" x14ac:dyDescent="0.3">
      <c r="A74" s="4" t="str" cm="1">
        <f t="array" ref="A74">_xlfn.IFS(
template_selected_display_language='Footnote (Taxonomy) Labels'!$B$1,'Footnote (Taxonomy) Labels'!$B74,
template_selected_display_language='Footnote (Taxonomy) Labels'!$C$1,'Footnote (Taxonomy) Labels'!$C74,
template_selected_display_language='Footnote (Taxonomy) Labels'!$D$1,'Footnote (Taxonomy) Labels'!$D74,
template_selected_display_language='Footnote (Taxonomy) Labels'!$E$1,'Footnote (Taxonomy) Labels'!$E74,
template_selected_display_language='Footnote (Taxonomy) Labels'!$F$1,'Footnote (Taxonomy) Labels'!$F74,
template_selected_display_language='Footnote (Taxonomy) Labels'!$G$1,'Footnote (Taxonomy) Labels'!$G74,
template_selected_display_language='Footnote (Taxonomy) Labels'!$H$1,'Footnote (Taxonomy) Labels'!$H74,
template_selected_display_language='Footnote (Taxonomy) Labels'!$I$1,'Footnote (Taxonomy) Labels'!$I74,
template_selected_display_language='Footnote (Taxonomy) Labels'!$J$1,'Footnote (Taxonomy) Labels'!$J74,
template_selected_display_language='Footnote (Taxonomy) Labels'!$K$1,'Footnote (Taxonomy) Labels'!$K74,
template_selected_display_language='Footnote (Taxonomy) Labels'!$L$1,'Footnote (Taxonomy) Labels'!$L74,
template_selected_display_language='Footnote (Taxonomy) Labels'!$M$1,'Footnote (Taxonomy) Labels'!$M74
)</f>
        <v>Total des déchets dangereux produits (en volume)</v>
      </c>
      <c r="B74" s="544" t="s">
        <v>6748</v>
      </c>
      <c r="C74" s="537" t="s">
        <v>10211</v>
      </c>
      <c r="D74" s="537" t="s">
        <v>10212</v>
      </c>
      <c r="E74" s="537" t="s">
        <v>6751</v>
      </c>
      <c r="F74" s="537" t="s">
        <v>6752</v>
      </c>
      <c r="G74" s="537" t="s">
        <v>10213</v>
      </c>
      <c r="H74" s="537" t="s">
        <v>6754</v>
      </c>
      <c r="I74" s="537" t="s">
        <v>10214</v>
      </c>
      <c r="J74" s="537" t="s">
        <v>6756</v>
      </c>
      <c r="K74" s="537" t="s">
        <v>10215</v>
      </c>
      <c r="L74" s="537" t="s">
        <v>6758</v>
      </c>
      <c r="M74" s="539" t="s">
        <v>10216</v>
      </c>
    </row>
    <row r="75" spans="1:13" ht="14.4" customHeight="1" x14ac:dyDescent="0.3">
      <c r="A75" s="4" t="str" cm="1">
        <f t="array" ref="A75">_xlfn.IFS(
template_selected_display_language='Footnote (Taxonomy) Labels'!$B$1,'Footnote (Taxonomy) Labels'!$B75,
template_selected_display_language='Footnote (Taxonomy) Labels'!$C$1,'Footnote (Taxonomy) Labels'!$C75,
template_selected_display_language='Footnote (Taxonomy) Labels'!$D$1,'Footnote (Taxonomy) Labels'!$D75,
template_selected_display_language='Footnote (Taxonomy) Labels'!$E$1,'Footnote (Taxonomy) Labels'!$E75,
template_selected_display_language='Footnote (Taxonomy) Labels'!$F$1,'Footnote (Taxonomy) Labels'!$F75,
template_selected_display_language='Footnote (Taxonomy) Labels'!$G$1,'Footnote (Taxonomy) Labels'!$G75,
template_selected_display_language='Footnote (Taxonomy) Labels'!$H$1,'Footnote (Taxonomy) Labels'!$H75,
template_selected_display_language='Footnote (Taxonomy) Labels'!$I$1,'Footnote (Taxonomy) Labels'!$I75,
template_selected_display_language='Footnote (Taxonomy) Labels'!$J$1,'Footnote (Taxonomy) Labels'!$J75,
template_selected_display_language='Footnote (Taxonomy) Labels'!$K$1,'Footnote (Taxonomy) Labels'!$K75,
template_selected_display_language='Footnote (Taxonomy) Labels'!$L$1,'Footnote (Taxonomy) Labels'!$L75,
template_selected_display_language='Footnote (Taxonomy) Labels'!$M$1,'Footnote (Taxonomy) Labels'!$M75
)</f>
        <v>Total des déchets non dangereux produits (en volume)</v>
      </c>
      <c r="B75" s="544" t="s">
        <v>6773</v>
      </c>
      <c r="C75" s="537" t="s">
        <v>10217</v>
      </c>
      <c r="D75" s="537" t="s">
        <v>10218</v>
      </c>
      <c r="E75" s="537" t="s">
        <v>6776</v>
      </c>
      <c r="F75" s="537" t="s">
        <v>6777</v>
      </c>
      <c r="G75" s="537" t="s">
        <v>10219</v>
      </c>
      <c r="H75" s="537" t="s">
        <v>6779</v>
      </c>
      <c r="I75" s="537" t="s">
        <v>10220</v>
      </c>
      <c r="J75" s="537" t="s">
        <v>6781</v>
      </c>
      <c r="K75" s="537" t="s">
        <v>6784</v>
      </c>
      <c r="L75" s="537" t="s">
        <v>6783</v>
      </c>
      <c r="M75" s="539" t="s">
        <v>10221</v>
      </c>
    </row>
    <row r="76" spans="1:13" ht="14.4" customHeight="1" x14ac:dyDescent="0.3">
      <c r="A76" s="4" t="str" cm="1">
        <f t="array" ref="A76">_xlfn.IFS(
template_selected_display_language='Footnote (Taxonomy) Labels'!$B$1,'Footnote (Taxonomy) Labels'!$B76,
template_selected_display_language='Footnote (Taxonomy) Labels'!$C$1,'Footnote (Taxonomy) Labels'!$C76,
template_selected_display_language='Footnote (Taxonomy) Labels'!$D$1,'Footnote (Taxonomy) Labels'!$D76,
template_selected_display_language='Footnote (Taxonomy) Labels'!$E$1,'Footnote (Taxonomy) Labels'!$E76,
template_selected_display_language='Footnote (Taxonomy) Labels'!$F$1,'Footnote (Taxonomy) Labels'!$F76,
template_selected_display_language='Footnote (Taxonomy) Labels'!$G$1,'Footnote (Taxonomy) Labels'!$G76,
template_selected_display_language='Footnote (Taxonomy) Labels'!$H$1,'Footnote (Taxonomy) Labels'!$H76,
template_selected_display_language='Footnote (Taxonomy) Labels'!$I$1,'Footnote (Taxonomy) Labels'!$I76,
template_selected_display_language='Footnote (Taxonomy) Labels'!$J$1,'Footnote (Taxonomy) Labels'!$J76,
template_selected_display_language='Footnote (Taxonomy) Labels'!$K$1,'Footnote (Taxonomy) Labels'!$K76,
template_selected_display_language='Footnote (Taxonomy) Labels'!$L$1,'Footnote (Taxonomy) Labels'!$L76,
template_selected_display_language='Footnote (Taxonomy) Labels'!$M$1,'Footnote (Taxonomy) Labels'!$M76
)</f>
        <v>Total des déchets produits (en volume)</v>
      </c>
      <c r="B76" s="544" t="s">
        <v>6786</v>
      </c>
      <c r="C76" s="537" t="s">
        <v>10222</v>
      </c>
      <c r="D76" s="537" t="s">
        <v>10223</v>
      </c>
      <c r="E76" s="537" t="s">
        <v>6789</v>
      </c>
      <c r="F76" s="537" t="s">
        <v>6790</v>
      </c>
      <c r="G76" s="537" t="s">
        <v>10224</v>
      </c>
      <c r="H76" s="537" t="s">
        <v>6792</v>
      </c>
      <c r="I76" s="537" t="s">
        <v>6793</v>
      </c>
      <c r="J76" s="537" t="s">
        <v>10225</v>
      </c>
      <c r="K76" s="537" t="s">
        <v>10226</v>
      </c>
      <c r="L76" s="537" t="s">
        <v>10227</v>
      </c>
      <c r="M76" s="539" t="s">
        <v>10228</v>
      </c>
    </row>
    <row r="77" spans="1:13" ht="14.4" customHeight="1" x14ac:dyDescent="0.3">
      <c r="A77" s="4" t="str" cm="1">
        <f t="array" ref="A77">_xlfn.IFS(
template_selected_display_language='Footnote (Taxonomy) Labels'!$B$1,'Footnote (Taxonomy) Labels'!$B77,
template_selected_display_language='Footnote (Taxonomy) Labels'!$C$1,'Footnote (Taxonomy) Labels'!$C77,
template_selected_display_language='Footnote (Taxonomy) Labels'!$D$1,'Footnote (Taxonomy) Labels'!$D77,
template_selected_display_language='Footnote (Taxonomy) Labels'!$E$1,'Footnote (Taxonomy) Labels'!$E77,
template_selected_display_language='Footnote (Taxonomy) Labels'!$F$1,'Footnote (Taxonomy) Labels'!$F77,
template_selected_display_language='Footnote (Taxonomy) Labels'!$G$1,'Footnote (Taxonomy) Labels'!$G77,
template_selected_display_language='Footnote (Taxonomy) Labels'!$H$1,'Footnote (Taxonomy) Labels'!$H77,
template_selected_display_language='Footnote (Taxonomy) Labels'!$I$1,'Footnote (Taxonomy) Labels'!$I77,
template_selected_display_language='Footnote (Taxonomy) Labels'!$J$1,'Footnote (Taxonomy) Labels'!$J77,
template_selected_display_language='Footnote (Taxonomy) Labels'!$K$1,'Footnote (Taxonomy) Labels'!$K77,
template_selected_display_language='Footnote (Taxonomy) Labels'!$L$1,'Footnote (Taxonomy) Labels'!$L77,
template_selected_display_language='Footnote (Taxonomy) Labels'!$M$1,'Footnote (Taxonomy) Labels'!$M77
)</f>
        <v>Nom de la matière utilisée</v>
      </c>
      <c r="B77" s="544" t="s">
        <v>10229</v>
      </c>
      <c r="C77" s="537" t="s">
        <v>10230</v>
      </c>
      <c r="D77" s="537" t="s">
        <v>10231</v>
      </c>
      <c r="E77" s="537" t="s">
        <v>10232</v>
      </c>
      <c r="F77" s="537" t="s">
        <v>10233</v>
      </c>
      <c r="G77" s="537" t="s">
        <v>10234</v>
      </c>
      <c r="H77" s="537" t="s">
        <v>10235</v>
      </c>
      <c r="I77" s="537" t="s">
        <v>10236</v>
      </c>
      <c r="J77" s="537" t="s">
        <v>10237</v>
      </c>
      <c r="K77" s="537" t="s">
        <v>10238</v>
      </c>
      <c r="L77" s="537" t="s">
        <v>10239</v>
      </c>
      <c r="M77" s="539" t="s">
        <v>10240</v>
      </c>
    </row>
    <row r="78" spans="1:13" ht="14.4" customHeight="1" x14ac:dyDescent="0.3">
      <c r="A78" s="4" t="str" cm="1">
        <f t="array" ref="A78">_xlfn.IFS(
template_selected_display_language='Footnote (Taxonomy) Labels'!$B$1,'Footnote (Taxonomy) Labels'!$B78,
template_selected_display_language='Footnote (Taxonomy) Labels'!$C$1,'Footnote (Taxonomy) Labels'!$C78,
template_selected_display_language='Footnote (Taxonomy) Labels'!$D$1,'Footnote (Taxonomy) Labels'!$D78,
template_selected_display_language='Footnote (Taxonomy) Labels'!$E$1,'Footnote (Taxonomy) Labels'!$E78,
template_selected_display_language='Footnote (Taxonomy) Labels'!$F$1,'Footnote (Taxonomy) Labels'!$F78,
template_selected_display_language='Footnote (Taxonomy) Labels'!$G$1,'Footnote (Taxonomy) Labels'!$G78,
template_selected_display_language='Footnote (Taxonomy) Labels'!$H$1,'Footnote (Taxonomy) Labels'!$H78,
template_selected_display_language='Footnote (Taxonomy) Labels'!$I$1,'Footnote (Taxonomy) Labels'!$I78,
template_selected_display_language='Footnote (Taxonomy) Labels'!$J$1,'Footnote (Taxonomy) Labels'!$J78,
template_selected_display_language='Footnote (Taxonomy) Labels'!$K$1,'Footnote (Taxonomy) Labels'!$K78,
template_selected_display_language='Footnote (Taxonomy) Labels'!$L$1,'Footnote (Taxonomy) Labels'!$L78,
template_selected_display_language='Footnote (Taxonomy) Labels'!$M$1,'Footnote (Taxonomy) Labels'!$M78
)</f>
        <v>Poids de la matière utilisée</v>
      </c>
      <c r="B78" s="544" t="s">
        <v>10241</v>
      </c>
      <c r="C78" s="537" t="s">
        <v>10242</v>
      </c>
      <c r="D78" s="537" t="s">
        <v>10243</v>
      </c>
      <c r="E78" s="537" t="s">
        <v>10244</v>
      </c>
      <c r="F78" s="537" t="s">
        <v>10245</v>
      </c>
      <c r="G78" s="537" t="s">
        <v>10246</v>
      </c>
      <c r="H78" s="537" t="s">
        <v>10247</v>
      </c>
      <c r="I78" s="537" t="s">
        <v>10248</v>
      </c>
      <c r="J78" s="537" t="s">
        <v>10249</v>
      </c>
      <c r="K78" s="537" t="s">
        <v>10250</v>
      </c>
      <c r="L78" s="537" t="s">
        <v>10251</v>
      </c>
      <c r="M78" s="539" t="s">
        <v>10252</v>
      </c>
    </row>
    <row r="79" spans="1:13" ht="14.4" customHeight="1" x14ac:dyDescent="0.3">
      <c r="A79" s="4" t="str" cm="1">
        <f t="array" ref="A79">_xlfn.IFS(
template_selected_display_language='Footnote (Taxonomy) Labels'!$B$1,'Footnote (Taxonomy) Labels'!$B79,
template_selected_display_language='Footnote (Taxonomy) Labels'!$C$1,'Footnote (Taxonomy) Labels'!$C79,
template_selected_display_language='Footnote (Taxonomy) Labels'!$D$1,'Footnote (Taxonomy) Labels'!$D79,
template_selected_display_language='Footnote (Taxonomy) Labels'!$E$1,'Footnote (Taxonomy) Labels'!$E79,
template_selected_display_language='Footnote (Taxonomy) Labels'!$F$1,'Footnote (Taxonomy) Labels'!$F79,
template_selected_display_language='Footnote (Taxonomy) Labels'!$G$1,'Footnote (Taxonomy) Labels'!$G79,
template_selected_display_language='Footnote (Taxonomy) Labels'!$H$1,'Footnote (Taxonomy) Labels'!$H79,
template_selected_display_language='Footnote (Taxonomy) Labels'!$I$1,'Footnote (Taxonomy) Labels'!$I79,
template_selected_display_language='Footnote (Taxonomy) Labels'!$J$1,'Footnote (Taxonomy) Labels'!$J79,
template_selected_display_language='Footnote (Taxonomy) Labels'!$K$1,'Footnote (Taxonomy) Labels'!$K79,
template_selected_display_language='Footnote (Taxonomy) Labels'!$L$1,'Footnote (Taxonomy) Labels'!$L79,
template_selected_display_language='Footnote (Taxonomy) Labels'!$M$1,'Footnote (Taxonomy) Labels'!$M79
)</f>
        <v>Volume de la matière utilisée</v>
      </c>
      <c r="B79" s="544" t="s">
        <v>10253</v>
      </c>
      <c r="C79" s="537" t="s">
        <v>10254</v>
      </c>
      <c r="D79" s="537" t="s">
        <v>10255</v>
      </c>
      <c r="E79" s="537" t="s">
        <v>10256</v>
      </c>
      <c r="F79" s="537" t="s">
        <v>10257</v>
      </c>
      <c r="G79" s="537" t="s">
        <v>10258</v>
      </c>
      <c r="H79" s="537" t="s">
        <v>10259</v>
      </c>
      <c r="I79" s="537" t="s">
        <v>10260</v>
      </c>
      <c r="J79" s="537" t="s">
        <v>10261</v>
      </c>
      <c r="K79" s="537" t="s">
        <v>10262</v>
      </c>
      <c r="L79" s="537" t="s">
        <v>10263</v>
      </c>
      <c r="M79" s="539" t="s">
        <v>10264</v>
      </c>
    </row>
    <row r="80" spans="1:13" ht="14.4" customHeight="1" x14ac:dyDescent="0.3">
      <c r="A80" s="4" t="str" cm="1">
        <f t="array" ref="A80">_xlfn.IFS(
template_selected_display_language='Footnote (Taxonomy) Labels'!$B$1,'Footnote (Taxonomy) Labels'!$B80,
template_selected_display_language='Footnote (Taxonomy) Labels'!$C$1,'Footnote (Taxonomy) Labels'!$C80,
template_selected_display_language='Footnote (Taxonomy) Labels'!$D$1,'Footnote (Taxonomy) Labels'!$D80,
template_selected_display_language='Footnote (Taxonomy) Labels'!$E$1,'Footnote (Taxonomy) Labels'!$E80,
template_selected_display_language='Footnote (Taxonomy) Labels'!$F$1,'Footnote (Taxonomy) Labels'!$F80,
template_selected_display_language='Footnote (Taxonomy) Labels'!$G$1,'Footnote (Taxonomy) Labels'!$G80,
template_selected_display_language='Footnote (Taxonomy) Labels'!$H$1,'Footnote (Taxonomy) Labels'!$H80,
template_selected_display_language='Footnote (Taxonomy) Labels'!$I$1,'Footnote (Taxonomy) Labels'!$I80,
template_selected_display_language='Footnote (Taxonomy) Labels'!$J$1,'Footnote (Taxonomy) Labels'!$J80,
template_selected_display_language='Footnote (Taxonomy) Labels'!$K$1,'Footnote (Taxonomy) Labels'!$K80,
template_selected_display_language='Footnote (Taxonomy) Labels'!$L$1,'Footnote (Taxonomy) Labels'!$L80,
template_selected_display_language='Footnote (Taxonomy) Labels'!$M$1,'Footnote (Taxonomy) Labels'!$M80
)</f>
        <v>Poids total de la matière utilisée</v>
      </c>
      <c r="B80" s="544" t="s">
        <v>10265</v>
      </c>
      <c r="C80" s="537" t="s">
        <v>10266</v>
      </c>
      <c r="D80" s="537" t="s">
        <v>10267</v>
      </c>
      <c r="E80" s="537" t="s">
        <v>10268</v>
      </c>
      <c r="F80" s="537" t="s">
        <v>10269</v>
      </c>
      <c r="G80" s="537" t="s">
        <v>10270</v>
      </c>
      <c r="H80" s="537" t="s">
        <v>10271</v>
      </c>
      <c r="I80" s="537" t="s">
        <v>10272</v>
      </c>
      <c r="J80" s="537" t="s">
        <v>10273</v>
      </c>
      <c r="K80" s="537" t="s">
        <v>10274</v>
      </c>
      <c r="L80" s="537" t="s">
        <v>10275</v>
      </c>
      <c r="M80" s="539" t="s">
        <v>10276</v>
      </c>
    </row>
    <row r="81" spans="1:13" ht="14.4" customHeight="1" x14ac:dyDescent="0.3">
      <c r="A81" s="4" t="str" cm="1">
        <f t="array" ref="A81">_xlfn.IFS(
template_selected_display_language='Footnote (Taxonomy) Labels'!$B$1,'Footnote (Taxonomy) Labels'!$B81,
template_selected_display_language='Footnote (Taxonomy) Labels'!$C$1,'Footnote (Taxonomy) Labels'!$C81,
template_selected_display_language='Footnote (Taxonomy) Labels'!$D$1,'Footnote (Taxonomy) Labels'!$D81,
template_selected_display_language='Footnote (Taxonomy) Labels'!$E$1,'Footnote (Taxonomy) Labels'!$E81,
template_selected_display_language='Footnote (Taxonomy) Labels'!$F$1,'Footnote (Taxonomy) Labels'!$F81,
template_selected_display_language='Footnote (Taxonomy) Labels'!$G$1,'Footnote (Taxonomy) Labels'!$G81,
template_selected_display_language='Footnote (Taxonomy) Labels'!$H$1,'Footnote (Taxonomy) Labels'!$H81,
template_selected_display_language='Footnote (Taxonomy) Labels'!$I$1,'Footnote (Taxonomy) Labels'!$I81,
template_selected_display_language='Footnote (Taxonomy) Labels'!$J$1,'Footnote (Taxonomy) Labels'!$J81,
template_selected_display_language='Footnote (Taxonomy) Labels'!$K$1,'Footnote (Taxonomy) Labels'!$K81,
template_selected_display_language='Footnote (Taxonomy) Labels'!$L$1,'Footnote (Taxonomy) Labels'!$L81,
template_selected_display_language='Footnote (Taxonomy) Labels'!$M$1,'Footnote (Taxonomy) Labels'!$M81
)</f>
        <v>Volume total de la matière utilisée</v>
      </c>
      <c r="B81" s="544" t="s">
        <v>10277</v>
      </c>
      <c r="C81" s="537" t="s">
        <v>10278</v>
      </c>
      <c r="D81" s="537" t="s">
        <v>10279</v>
      </c>
      <c r="E81" s="537" t="s">
        <v>10280</v>
      </c>
      <c r="F81" s="537" t="s">
        <v>10281</v>
      </c>
      <c r="G81" s="537" t="s">
        <v>10282</v>
      </c>
      <c r="H81" s="537" t="s">
        <v>10283</v>
      </c>
      <c r="I81" s="537" t="s">
        <v>10284</v>
      </c>
      <c r="J81" s="537" t="s">
        <v>10285</v>
      </c>
      <c r="K81" s="537" t="s">
        <v>10286</v>
      </c>
      <c r="L81" s="537" t="s">
        <v>10287</v>
      </c>
      <c r="M81" s="539" t="s">
        <v>10288</v>
      </c>
    </row>
    <row r="82" spans="1:13" ht="14.4" customHeight="1" x14ac:dyDescent="0.3">
      <c r="A82" s="4" t="str" cm="1">
        <f t="array" ref="A82">_xlfn.IFS(
template_selected_display_language='Footnote (Taxonomy) Labels'!$B$1,'Footnote (Taxonomy) Labels'!$B82,
template_selected_display_language='Footnote (Taxonomy) Labels'!$C$1,'Footnote (Taxonomy) Labels'!$C82,
template_selected_display_language='Footnote (Taxonomy) Labels'!$D$1,'Footnote (Taxonomy) Labels'!$D82,
template_selected_display_language='Footnote (Taxonomy) Labels'!$E$1,'Footnote (Taxonomy) Labels'!$E82,
template_selected_display_language='Footnote (Taxonomy) Labels'!$F$1,'Footnote (Taxonomy) Labels'!$F82,
template_selected_display_language='Footnote (Taxonomy) Labels'!$G$1,'Footnote (Taxonomy) Labels'!$G82,
template_selected_display_language='Footnote (Taxonomy) Labels'!$H$1,'Footnote (Taxonomy) Labels'!$H82,
template_selected_display_language='Footnote (Taxonomy) Labels'!$I$1,'Footnote (Taxonomy) Labels'!$I82,
template_selected_display_language='Footnote (Taxonomy) Labels'!$J$1,'Footnote (Taxonomy) Labels'!$J82,
template_selected_display_language='Footnote (Taxonomy) Labels'!$K$1,'Footnote (Taxonomy) Labels'!$K82,
template_selected_display_language='Footnote (Taxonomy) Labels'!$L$1,'Footnote (Taxonomy) Labels'!$L82,
template_selected_display_language='Footnote (Taxonomy) Labels'!$M$1,'Footnote (Taxonomy) Labels'!$M82
)</f>
        <v>Nombre de salariés en contrat de travail à durée indéterminée</v>
      </c>
      <c r="B82" s="544" t="s">
        <v>10289</v>
      </c>
      <c r="C82" s="537" t="s">
        <v>10290</v>
      </c>
      <c r="D82" s="537" t="s">
        <v>10291</v>
      </c>
      <c r="E82" s="537" t="s">
        <v>10292</v>
      </c>
      <c r="F82" s="537" t="s">
        <v>10293</v>
      </c>
      <c r="G82" s="537" t="s">
        <v>10294</v>
      </c>
      <c r="H82" s="537" t="s">
        <v>10295</v>
      </c>
      <c r="I82" s="537" t="s">
        <v>10296</v>
      </c>
      <c r="J82" s="537" t="s">
        <v>10297</v>
      </c>
      <c r="K82" s="537" t="s">
        <v>10298</v>
      </c>
      <c r="L82" s="537" t="s">
        <v>10299</v>
      </c>
      <c r="M82" s="539" t="s">
        <v>10300</v>
      </c>
    </row>
    <row r="83" spans="1:13" ht="14.4" customHeight="1" x14ac:dyDescent="0.3">
      <c r="A83" s="4" t="str" cm="1">
        <f t="array" ref="A83">_xlfn.IFS(
template_selected_display_language='Footnote (Taxonomy) Labels'!$B$1,'Footnote (Taxonomy) Labels'!$B83,
template_selected_display_language='Footnote (Taxonomy) Labels'!$C$1,'Footnote (Taxonomy) Labels'!$C83,
template_selected_display_language='Footnote (Taxonomy) Labels'!$D$1,'Footnote (Taxonomy) Labels'!$D83,
template_selected_display_language='Footnote (Taxonomy) Labels'!$E$1,'Footnote (Taxonomy) Labels'!$E83,
template_selected_display_language='Footnote (Taxonomy) Labels'!$F$1,'Footnote (Taxonomy) Labels'!$F83,
template_selected_display_language='Footnote (Taxonomy) Labels'!$G$1,'Footnote (Taxonomy) Labels'!$G83,
template_selected_display_language='Footnote (Taxonomy) Labels'!$H$1,'Footnote (Taxonomy) Labels'!$H83,
template_selected_display_language='Footnote (Taxonomy) Labels'!$I$1,'Footnote (Taxonomy) Labels'!$I83,
template_selected_display_language='Footnote (Taxonomy) Labels'!$J$1,'Footnote (Taxonomy) Labels'!$J83,
template_selected_display_language='Footnote (Taxonomy) Labels'!$K$1,'Footnote (Taxonomy) Labels'!$K83,
template_selected_display_language='Footnote (Taxonomy) Labels'!$L$1,'Footnote (Taxonomy) Labels'!$L83,
template_selected_display_language='Footnote (Taxonomy) Labels'!$M$1,'Footnote (Taxonomy) Labels'!$M83
)</f>
        <v>Nombre de salariés en contrat de travail à durée déterminée</v>
      </c>
      <c r="B83" s="544" t="s">
        <v>10301</v>
      </c>
      <c r="C83" s="537" t="s">
        <v>10302</v>
      </c>
      <c r="D83" s="537" t="s">
        <v>10303</v>
      </c>
      <c r="E83" s="537" t="s">
        <v>10304</v>
      </c>
      <c r="F83" s="537" t="s">
        <v>10305</v>
      </c>
      <c r="G83" s="537" t="s">
        <v>10306</v>
      </c>
      <c r="H83" s="537" t="s">
        <v>10307</v>
      </c>
      <c r="I83" s="537" t="s">
        <v>10308</v>
      </c>
      <c r="J83" s="537" t="s">
        <v>10309</v>
      </c>
      <c r="K83" s="537" t="s">
        <v>10310</v>
      </c>
      <c r="L83" s="537" t="s">
        <v>10311</v>
      </c>
      <c r="M83" s="539" t="s">
        <v>10312</v>
      </c>
    </row>
    <row r="84" spans="1:13" ht="14.4" customHeight="1" x14ac:dyDescent="0.3">
      <c r="A84" s="4" t="str" cm="1">
        <f t="array" ref="A84">_xlfn.IFS(
template_selected_display_language='Footnote (Taxonomy) Labels'!$B$1,'Footnote (Taxonomy) Labels'!$B84,
template_selected_display_language='Footnote (Taxonomy) Labels'!$C$1,'Footnote (Taxonomy) Labels'!$C84,
template_selected_display_language='Footnote (Taxonomy) Labels'!$D$1,'Footnote (Taxonomy) Labels'!$D84,
template_selected_display_language='Footnote (Taxonomy) Labels'!$E$1,'Footnote (Taxonomy) Labels'!$E84,
template_selected_display_language='Footnote (Taxonomy) Labels'!$F$1,'Footnote (Taxonomy) Labels'!$F84,
template_selected_display_language='Footnote (Taxonomy) Labels'!$G$1,'Footnote (Taxonomy) Labels'!$G84,
template_selected_display_language='Footnote (Taxonomy) Labels'!$H$1,'Footnote (Taxonomy) Labels'!$H84,
template_selected_display_language='Footnote (Taxonomy) Labels'!$I$1,'Footnote (Taxonomy) Labels'!$I84,
template_selected_display_language='Footnote (Taxonomy) Labels'!$J$1,'Footnote (Taxonomy) Labels'!$J84,
template_selected_display_language='Footnote (Taxonomy) Labels'!$K$1,'Footnote (Taxonomy) Labels'!$K84,
template_selected_display_language='Footnote (Taxonomy) Labels'!$L$1,'Footnote (Taxonomy) Labels'!$L84,
template_selected_display_language='Footnote (Taxonomy) Labels'!$M$1,'Footnote (Taxonomy) Labels'!$M84
)</f>
        <v>Nombre de salariés hommes</v>
      </c>
      <c r="B84" s="544" t="s">
        <v>10313</v>
      </c>
      <c r="C84" s="537" t="s">
        <v>10314</v>
      </c>
      <c r="D84" s="537" t="s">
        <v>10315</v>
      </c>
      <c r="E84" s="537" t="s">
        <v>10316</v>
      </c>
      <c r="F84" s="537" t="s">
        <v>10317</v>
      </c>
      <c r="G84" s="537" t="s">
        <v>10318</v>
      </c>
      <c r="H84" s="537" t="s">
        <v>10319</v>
      </c>
      <c r="I84" s="537" t="s">
        <v>10320</v>
      </c>
      <c r="J84" s="537" t="s">
        <v>10321</v>
      </c>
      <c r="K84" s="537" t="s">
        <v>10322</v>
      </c>
      <c r="L84" s="537" t="s">
        <v>10323</v>
      </c>
      <c r="M84" s="539" t="s">
        <v>10324</v>
      </c>
    </row>
    <row r="85" spans="1:13" ht="14.4" customHeight="1" x14ac:dyDescent="0.3">
      <c r="A85" s="4" t="str" cm="1">
        <f t="array" ref="A85">_xlfn.IFS(
template_selected_display_language='Footnote (Taxonomy) Labels'!$B$1,'Footnote (Taxonomy) Labels'!$B85,
template_selected_display_language='Footnote (Taxonomy) Labels'!$C$1,'Footnote (Taxonomy) Labels'!$C85,
template_selected_display_language='Footnote (Taxonomy) Labels'!$D$1,'Footnote (Taxonomy) Labels'!$D85,
template_selected_display_language='Footnote (Taxonomy) Labels'!$E$1,'Footnote (Taxonomy) Labels'!$E85,
template_selected_display_language='Footnote (Taxonomy) Labels'!$F$1,'Footnote (Taxonomy) Labels'!$F85,
template_selected_display_language='Footnote (Taxonomy) Labels'!$G$1,'Footnote (Taxonomy) Labels'!$G85,
template_selected_display_language='Footnote (Taxonomy) Labels'!$H$1,'Footnote (Taxonomy) Labels'!$H85,
template_selected_display_language='Footnote (Taxonomy) Labels'!$I$1,'Footnote (Taxonomy) Labels'!$I85,
template_selected_display_language='Footnote (Taxonomy) Labels'!$J$1,'Footnote (Taxonomy) Labels'!$J85,
template_selected_display_language='Footnote (Taxonomy) Labels'!$K$1,'Footnote (Taxonomy) Labels'!$K85,
template_selected_display_language='Footnote (Taxonomy) Labels'!$L$1,'Footnote (Taxonomy) Labels'!$L85,
template_selected_display_language='Footnote (Taxonomy) Labels'!$M$1,'Footnote (Taxonomy) Labels'!$M85
)</f>
        <v>Nombre de salariés femmes</v>
      </c>
      <c r="B85" s="544" t="s">
        <v>10325</v>
      </c>
      <c r="C85" s="537" t="s">
        <v>10326</v>
      </c>
      <c r="D85" s="537" t="s">
        <v>10327</v>
      </c>
      <c r="E85" s="537" t="s">
        <v>10328</v>
      </c>
      <c r="F85" s="537" t="s">
        <v>10329</v>
      </c>
      <c r="G85" s="537" t="s">
        <v>10330</v>
      </c>
      <c r="H85" s="537" t="s">
        <v>10331</v>
      </c>
      <c r="I85" s="537" t="s">
        <v>10332</v>
      </c>
      <c r="J85" s="537" t="s">
        <v>10333</v>
      </c>
      <c r="K85" s="537" t="s">
        <v>10334</v>
      </c>
      <c r="L85" s="537" t="s">
        <v>10335</v>
      </c>
      <c r="M85" s="539" t="s">
        <v>10336</v>
      </c>
    </row>
    <row r="86" spans="1:13" ht="14.4" customHeight="1" x14ac:dyDescent="0.3">
      <c r="A86" s="4" t="str" cm="1">
        <f t="array" ref="A86">_xlfn.IFS(
template_selected_display_language='Footnote (Taxonomy) Labels'!$B$1,'Footnote (Taxonomy) Labels'!$B86,
template_selected_display_language='Footnote (Taxonomy) Labels'!$C$1,'Footnote (Taxonomy) Labels'!$C86,
template_selected_display_language='Footnote (Taxonomy) Labels'!$D$1,'Footnote (Taxonomy) Labels'!$D86,
template_selected_display_language='Footnote (Taxonomy) Labels'!$E$1,'Footnote (Taxonomy) Labels'!$E86,
template_selected_display_language='Footnote (Taxonomy) Labels'!$F$1,'Footnote (Taxonomy) Labels'!$F86,
template_selected_display_language='Footnote (Taxonomy) Labels'!$G$1,'Footnote (Taxonomy) Labels'!$G86,
template_selected_display_language='Footnote (Taxonomy) Labels'!$H$1,'Footnote (Taxonomy) Labels'!$H86,
template_selected_display_language='Footnote (Taxonomy) Labels'!$I$1,'Footnote (Taxonomy) Labels'!$I86,
template_selected_display_language='Footnote (Taxonomy) Labels'!$J$1,'Footnote (Taxonomy) Labels'!$J86,
template_selected_display_language='Footnote (Taxonomy) Labels'!$K$1,'Footnote (Taxonomy) Labels'!$K86,
template_selected_display_language='Footnote (Taxonomy) Labels'!$L$1,'Footnote (Taxonomy) Labels'!$L86,
template_selected_display_language='Footnote (Taxonomy) Labels'!$M$1,'Footnote (Taxonomy) Labels'!$M86
)</f>
        <v>Nombre de salariés d'autres genres</v>
      </c>
      <c r="B86" s="544" t="s">
        <v>10337</v>
      </c>
      <c r="C86" s="537" t="s">
        <v>10338</v>
      </c>
      <c r="D86" s="537" t="s">
        <v>10339</v>
      </c>
      <c r="E86" s="537" t="s">
        <v>10340</v>
      </c>
      <c r="F86" s="537" t="s">
        <v>10341</v>
      </c>
      <c r="G86" s="537" t="s">
        <v>10342</v>
      </c>
      <c r="H86" s="537" t="s">
        <v>10343</v>
      </c>
      <c r="I86" s="537" t="s">
        <v>10344</v>
      </c>
      <c r="J86" s="537" t="s">
        <v>10345</v>
      </c>
      <c r="K86" s="537" t="s">
        <v>10346</v>
      </c>
      <c r="L86" s="537" t="s">
        <v>10347</v>
      </c>
      <c r="M86" s="539" t="s">
        <v>10348</v>
      </c>
    </row>
    <row r="87" spans="1:13" ht="14.4" customHeight="1" x14ac:dyDescent="0.3">
      <c r="A87" s="4" t="str" cm="1">
        <f t="array" ref="A87">_xlfn.IFS(
template_selected_display_language='Footnote (Taxonomy) Labels'!$B$1,'Footnote (Taxonomy) Labels'!$B87,
template_selected_display_language='Footnote (Taxonomy) Labels'!$C$1,'Footnote (Taxonomy) Labels'!$C87,
template_selected_display_language='Footnote (Taxonomy) Labels'!$D$1,'Footnote (Taxonomy) Labels'!$D87,
template_selected_display_language='Footnote (Taxonomy) Labels'!$E$1,'Footnote (Taxonomy) Labels'!$E87,
template_selected_display_language='Footnote (Taxonomy) Labels'!$F$1,'Footnote (Taxonomy) Labels'!$F87,
template_selected_display_language='Footnote (Taxonomy) Labels'!$G$1,'Footnote (Taxonomy) Labels'!$G87,
template_selected_display_language='Footnote (Taxonomy) Labels'!$H$1,'Footnote (Taxonomy) Labels'!$H87,
template_selected_display_language='Footnote (Taxonomy) Labels'!$I$1,'Footnote (Taxonomy) Labels'!$I87,
template_selected_display_language='Footnote (Taxonomy) Labels'!$J$1,'Footnote (Taxonomy) Labels'!$J87,
template_selected_display_language='Footnote (Taxonomy) Labels'!$K$1,'Footnote (Taxonomy) Labels'!$K87,
template_selected_display_language='Footnote (Taxonomy) Labels'!$L$1,'Footnote (Taxonomy) Labels'!$L87,
template_selected_display_language='Footnote (Taxonomy) Labels'!$M$1,'Footnote (Taxonomy) Labels'!$M87
)</f>
        <v>Nombre d'employés dont le genre n'est pas communiqué</v>
      </c>
      <c r="B87" s="544" t="s">
        <v>10349</v>
      </c>
      <c r="C87" s="537" t="s">
        <v>10350</v>
      </c>
      <c r="D87" s="537" t="s">
        <v>10351</v>
      </c>
      <c r="E87" s="537" t="s">
        <v>10352</v>
      </c>
      <c r="F87" s="537" t="s">
        <v>10353</v>
      </c>
      <c r="G87" s="537" t="s">
        <v>10354</v>
      </c>
      <c r="H87" s="537" t="s">
        <v>10355</v>
      </c>
      <c r="I87" s="537" t="s">
        <v>10356</v>
      </c>
      <c r="J87" s="537" t="s">
        <v>10357</v>
      </c>
      <c r="K87" s="537" t="s">
        <v>10358</v>
      </c>
      <c r="L87" s="537" t="s">
        <v>10359</v>
      </c>
      <c r="M87" s="539" t="s">
        <v>10360</v>
      </c>
    </row>
    <row r="88" spans="1:13" ht="14.4" customHeight="1" x14ac:dyDescent="0.3">
      <c r="A88" s="4" t="str" cm="1">
        <f t="array" ref="A88">_xlfn.IFS(
template_selected_display_language='Footnote (Taxonomy) Labels'!$B$1,'Footnote (Taxonomy) Labels'!$B88,
template_selected_display_language='Footnote (Taxonomy) Labels'!$C$1,'Footnote (Taxonomy) Labels'!$C88,
template_selected_display_language='Footnote (Taxonomy) Labels'!$D$1,'Footnote (Taxonomy) Labels'!$D88,
template_selected_display_language='Footnote (Taxonomy) Labels'!$E$1,'Footnote (Taxonomy) Labels'!$E88,
template_selected_display_language='Footnote (Taxonomy) Labels'!$F$1,'Footnote (Taxonomy) Labels'!$F88,
template_selected_display_language='Footnote (Taxonomy) Labels'!$G$1,'Footnote (Taxonomy) Labels'!$G88,
template_selected_display_language='Footnote (Taxonomy) Labels'!$H$1,'Footnote (Taxonomy) Labels'!$H88,
template_selected_display_language='Footnote (Taxonomy) Labels'!$I$1,'Footnote (Taxonomy) Labels'!$I88,
template_selected_display_language='Footnote (Taxonomy) Labels'!$J$1,'Footnote (Taxonomy) Labels'!$J88,
template_selected_display_language='Footnote (Taxonomy) Labels'!$K$1,'Footnote (Taxonomy) Labels'!$K88,
template_selected_display_language='Footnote (Taxonomy) Labels'!$L$1,'Footnote (Taxonomy) Labels'!$L88,
template_selected_display_language='Footnote (Taxonomy) Labels'!$M$1,'Footnote (Taxonomy) Labels'!$M88
)</f>
        <v>Nombre de salariés pour le pays du contrat de travail</v>
      </c>
      <c r="B88" s="544" t="s">
        <v>10361</v>
      </c>
      <c r="C88" s="537" t="s">
        <v>10362</v>
      </c>
      <c r="D88" s="537" t="s">
        <v>10363</v>
      </c>
      <c r="E88" s="537" t="s">
        <v>10364</v>
      </c>
      <c r="F88" s="537" t="s">
        <v>10365</v>
      </c>
      <c r="G88" s="537" t="s">
        <v>10366</v>
      </c>
      <c r="H88" s="537" t="s">
        <v>10367</v>
      </c>
      <c r="I88" s="537" t="s">
        <v>10368</v>
      </c>
      <c r="J88" s="537" t="s">
        <v>10369</v>
      </c>
      <c r="K88" s="537" t="s">
        <v>10370</v>
      </c>
      <c r="L88" s="537" t="s">
        <v>10371</v>
      </c>
      <c r="M88" s="539" t="s">
        <v>10372</v>
      </c>
    </row>
    <row r="89" spans="1:13" ht="14.4" customHeight="1" x14ac:dyDescent="0.3">
      <c r="A89" s="4" t="str" cm="1">
        <f t="array" ref="A89">_xlfn.IFS(
template_selected_display_language='Footnote (Taxonomy) Labels'!$B$1,'Footnote (Taxonomy) Labels'!$B89,
template_selected_display_language='Footnote (Taxonomy) Labels'!$C$1,'Footnote (Taxonomy) Labels'!$C89,
template_selected_display_language='Footnote (Taxonomy) Labels'!$D$1,'Footnote (Taxonomy) Labels'!$D89,
template_selected_display_language='Footnote (Taxonomy) Labels'!$E$1,'Footnote (Taxonomy) Labels'!$E89,
template_selected_display_language='Footnote (Taxonomy) Labels'!$F$1,'Footnote (Taxonomy) Labels'!$F89,
template_selected_display_language='Footnote (Taxonomy) Labels'!$G$1,'Footnote (Taxonomy) Labels'!$G89,
template_selected_display_language='Footnote (Taxonomy) Labels'!$H$1,'Footnote (Taxonomy) Labels'!$H89,
template_selected_display_language='Footnote (Taxonomy) Labels'!$I$1,'Footnote (Taxonomy) Labels'!$I89,
template_selected_display_language='Footnote (Taxonomy) Labels'!$J$1,'Footnote (Taxonomy) Labels'!$J89,
template_selected_display_language='Footnote (Taxonomy) Labels'!$K$1,'Footnote (Taxonomy) Labels'!$K89,
template_selected_display_language='Footnote (Taxonomy) Labels'!$L$1,'Footnote (Taxonomy) Labels'!$L89,
template_selected_display_language='Footnote (Taxonomy) Labels'!$M$1,'Footnote (Taxonomy) Labels'!$M89
)</f>
        <v>Taux de rotation du personnel</v>
      </c>
      <c r="B89" s="544" t="s">
        <v>10373</v>
      </c>
      <c r="C89" s="537" t="s">
        <v>10374</v>
      </c>
      <c r="D89" s="537" t="s">
        <v>10375</v>
      </c>
      <c r="E89" s="537" t="s">
        <v>10376</v>
      </c>
      <c r="F89" s="537" t="s">
        <v>10377</v>
      </c>
      <c r="G89" s="537" t="s">
        <v>10378</v>
      </c>
      <c r="H89" s="537" t="s">
        <v>10379</v>
      </c>
      <c r="I89" s="537" t="s">
        <v>10380</v>
      </c>
      <c r="J89" s="537" t="s">
        <v>10381</v>
      </c>
      <c r="K89" s="537" t="s">
        <v>10382</v>
      </c>
      <c r="L89" s="537" t="s">
        <v>10383</v>
      </c>
      <c r="M89" s="539" t="s">
        <v>10384</v>
      </c>
    </row>
    <row r="90" spans="1:13" ht="14.4" customHeight="1" x14ac:dyDescent="0.3">
      <c r="A90" s="4" t="str" cm="1">
        <f t="array" ref="A90">_xlfn.IFS(
template_selected_display_language='Footnote (Taxonomy) Labels'!$B$1,'Footnote (Taxonomy) Labels'!$B90,
template_selected_display_language='Footnote (Taxonomy) Labels'!$C$1,'Footnote (Taxonomy) Labels'!$C90,
template_selected_display_language='Footnote (Taxonomy) Labels'!$D$1,'Footnote (Taxonomy) Labels'!$D90,
template_selected_display_language='Footnote (Taxonomy) Labels'!$E$1,'Footnote (Taxonomy) Labels'!$E90,
template_selected_display_language='Footnote (Taxonomy) Labels'!$F$1,'Footnote (Taxonomy) Labels'!$F90,
template_selected_display_language='Footnote (Taxonomy) Labels'!$G$1,'Footnote (Taxonomy) Labels'!$G90,
template_selected_display_language='Footnote (Taxonomy) Labels'!$H$1,'Footnote (Taxonomy) Labels'!$H90,
template_selected_display_language='Footnote (Taxonomy) Labels'!$I$1,'Footnote (Taxonomy) Labels'!$I90,
template_selected_display_language='Footnote (Taxonomy) Labels'!$J$1,'Footnote (Taxonomy) Labels'!$J90,
template_selected_display_language='Footnote (Taxonomy) Labels'!$K$1,'Footnote (Taxonomy) Labels'!$K90,
template_selected_display_language='Footnote (Taxonomy) Labels'!$L$1,'Footnote (Taxonomy) Labels'!$L90,
template_selected_display_language='Footnote (Taxonomy) Labels'!$M$1,'Footnote (Taxonomy) Labels'!$M90
)</f>
        <v>Nombre d'accidents du travail comptabilisables pendant la période de reporting</v>
      </c>
      <c r="B90" s="544" t="s">
        <v>10385</v>
      </c>
      <c r="C90" s="537" t="s">
        <v>10386</v>
      </c>
      <c r="D90" s="537" t="s">
        <v>10387</v>
      </c>
      <c r="E90" s="537" t="s">
        <v>7265</v>
      </c>
      <c r="F90" s="537" t="s">
        <v>7266</v>
      </c>
      <c r="G90" s="537" t="s">
        <v>10388</v>
      </c>
      <c r="H90" s="537" t="s">
        <v>7268</v>
      </c>
      <c r="I90" s="537" t="s">
        <v>10389</v>
      </c>
      <c r="J90" s="537" t="s">
        <v>7270</v>
      </c>
      <c r="K90" s="537" t="s">
        <v>10390</v>
      </c>
      <c r="L90" s="537" t="s">
        <v>10391</v>
      </c>
      <c r="M90" s="539" t="s">
        <v>10392</v>
      </c>
    </row>
    <row r="91" spans="1:13" ht="14.4" customHeight="1" x14ac:dyDescent="0.3">
      <c r="A91" s="4" t="str" cm="1">
        <f t="array" ref="A91">_xlfn.IFS(
template_selected_display_language='Footnote (Taxonomy) Labels'!$B$1,'Footnote (Taxonomy) Labels'!$B91,
template_selected_display_language='Footnote (Taxonomy) Labels'!$C$1,'Footnote (Taxonomy) Labels'!$C91,
template_selected_display_language='Footnote (Taxonomy) Labels'!$D$1,'Footnote (Taxonomy) Labels'!$D91,
template_selected_display_language='Footnote (Taxonomy) Labels'!$E$1,'Footnote (Taxonomy) Labels'!$E91,
template_selected_display_language='Footnote (Taxonomy) Labels'!$F$1,'Footnote (Taxonomy) Labels'!$F91,
template_selected_display_language='Footnote (Taxonomy) Labels'!$G$1,'Footnote (Taxonomy) Labels'!$G91,
template_selected_display_language='Footnote (Taxonomy) Labels'!$H$1,'Footnote (Taxonomy) Labels'!$H91,
template_selected_display_language='Footnote (Taxonomy) Labels'!$I$1,'Footnote (Taxonomy) Labels'!$I91,
template_selected_display_language='Footnote (Taxonomy) Labels'!$J$1,'Footnote (Taxonomy) Labels'!$J91,
template_selected_display_language='Footnote (Taxonomy) Labels'!$K$1,'Footnote (Taxonomy) Labels'!$K91,
template_selected_display_language='Footnote (Taxonomy) Labels'!$L$1,'Footnote (Taxonomy) Labels'!$L91,
template_selected_display_language='Footnote (Taxonomy) Labels'!$M$1,'Footnote (Taxonomy) Labels'!$M91
)</f>
        <v>Taux d’accidents du travail comptabilisables pendant la période de reporting</v>
      </c>
      <c r="B91" s="544" t="s">
        <v>10393</v>
      </c>
      <c r="C91" s="537" t="s">
        <v>10394</v>
      </c>
      <c r="D91" s="537" t="s">
        <v>10395</v>
      </c>
      <c r="E91" s="537" t="s">
        <v>7304</v>
      </c>
      <c r="F91" s="537" t="s">
        <v>7305</v>
      </c>
      <c r="G91" s="537" t="s">
        <v>10396</v>
      </c>
      <c r="H91" s="537" t="s">
        <v>10397</v>
      </c>
      <c r="I91" s="537" t="s">
        <v>7308</v>
      </c>
      <c r="J91" s="537" t="s">
        <v>7309</v>
      </c>
      <c r="K91" s="537" t="s">
        <v>7312</v>
      </c>
      <c r="L91" s="537" t="s">
        <v>10398</v>
      </c>
      <c r="M91" s="539" t="s">
        <v>10399</v>
      </c>
    </row>
    <row r="92" spans="1:13" ht="14.4" customHeight="1" x14ac:dyDescent="0.3">
      <c r="A92" s="4" t="str" cm="1">
        <f t="array" ref="A92">_xlfn.IFS(
template_selected_display_language='Footnote (Taxonomy) Labels'!$B$1,'Footnote (Taxonomy) Labels'!$B92,
template_selected_display_language='Footnote (Taxonomy) Labels'!$C$1,'Footnote (Taxonomy) Labels'!$C92,
template_selected_display_language='Footnote (Taxonomy) Labels'!$D$1,'Footnote (Taxonomy) Labels'!$D92,
template_selected_display_language='Footnote (Taxonomy) Labels'!$E$1,'Footnote (Taxonomy) Labels'!$E92,
template_selected_display_language='Footnote (Taxonomy) Labels'!$F$1,'Footnote (Taxonomy) Labels'!$F92,
template_selected_display_language='Footnote (Taxonomy) Labels'!$G$1,'Footnote (Taxonomy) Labels'!$G92,
template_selected_display_language='Footnote (Taxonomy) Labels'!$H$1,'Footnote (Taxonomy) Labels'!$H92,
template_selected_display_language='Footnote (Taxonomy) Labels'!$I$1,'Footnote (Taxonomy) Labels'!$I92,
template_selected_display_language='Footnote (Taxonomy) Labels'!$J$1,'Footnote (Taxonomy) Labels'!$J92,
template_selected_display_language='Footnote (Taxonomy) Labels'!$K$1,'Footnote (Taxonomy) Labels'!$K92,
template_selected_display_language='Footnote (Taxonomy) Labels'!$L$1,'Footnote (Taxonomy) Labels'!$L92,
template_selected_display_language='Footnote (Taxonomy) Labels'!$M$1,'Footnote (Taxonomy) Labels'!$M92
)</f>
        <v>Nombre de décès dus à des accidents du travail ou à des problèmes de santé liés au travail</v>
      </c>
      <c r="B92" s="544" t="s">
        <v>7314</v>
      </c>
      <c r="C92" s="537" t="s">
        <v>10400</v>
      </c>
      <c r="D92" s="537" t="s">
        <v>10401</v>
      </c>
      <c r="E92" s="537" t="s">
        <v>10402</v>
      </c>
      <c r="F92" s="537" t="s">
        <v>7318</v>
      </c>
      <c r="G92" s="537" t="s">
        <v>10403</v>
      </c>
      <c r="H92" s="537" t="s">
        <v>7320</v>
      </c>
      <c r="I92" s="537" t="s">
        <v>7321</v>
      </c>
      <c r="J92" s="537" t="s">
        <v>7322</v>
      </c>
      <c r="K92" s="537" t="s">
        <v>10404</v>
      </c>
      <c r="L92" s="537" t="s">
        <v>10405</v>
      </c>
      <c r="M92" s="539" t="s">
        <v>7323</v>
      </c>
    </row>
    <row r="93" spans="1:13" ht="14.4" customHeight="1" x14ac:dyDescent="0.3">
      <c r="A93" s="4" t="str" cm="1">
        <f t="array" ref="A93">_xlfn.IFS(
template_selected_display_language='Footnote (Taxonomy) Labels'!$B$1,'Footnote (Taxonomy) Labels'!$B93,
template_selected_display_language='Footnote (Taxonomy) Labels'!$C$1,'Footnote (Taxonomy) Labels'!$C93,
template_selected_display_language='Footnote (Taxonomy) Labels'!$D$1,'Footnote (Taxonomy) Labels'!$D93,
template_selected_display_language='Footnote (Taxonomy) Labels'!$E$1,'Footnote (Taxonomy) Labels'!$E93,
template_selected_display_language='Footnote (Taxonomy) Labels'!$F$1,'Footnote (Taxonomy) Labels'!$F93,
template_selected_display_language='Footnote (Taxonomy) Labels'!$G$1,'Footnote (Taxonomy) Labels'!$G93,
template_selected_display_language='Footnote (Taxonomy) Labels'!$H$1,'Footnote (Taxonomy) Labels'!$H93,
template_selected_display_language='Footnote (Taxonomy) Labels'!$I$1,'Footnote (Taxonomy) Labels'!$I93,
template_selected_display_language='Footnote (Taxonomy) Labels'!$J$1,'Footnote (Taxonomy) Labels'!$J93,
template_selected_display_language='Footnote (Taxonomy) Labels'!$K$1,'Footnote (Taxonomy) Labels'!$K93,
template_selected_display_language='Footnote (Taxonomy) Labels'!$L$1,'Footnote (Taxonomy) Labels'!$L93,
template_selected_display_language='Footnote (Taxonomy) Labels'!$M$1,'Footnote (Taxonomy) Labels'!$M93
)</f>
        <v>Les salariés perçoivent une rémunération égale ou supérieure au salaire minimum déterminé par la législation nationale ou par une convention collective</v>
      </c>
      <c r="B93" s="544" t="s">
        <v>10406</v>
      </c>
      <c r="C93" s="537" t="s">
        <v>10407</v>
      </c>
      <c r="D93" s="537" t="s">
        <v>10408</v>
      </c>
      <c r="E93" s="537" t="s">
        <v>10409</v>
      </c>
      <c r="F93" s="537" t="s">
        <v>10410</v>
      </c>
      <c r="G93" s="537" t="s">
        <v>10411</v>
      </c>
      <c r="H93" s="537" t="s">
        <v>10412</v>
      </c>
      <c r="I93" s="537" t="s">
        <v>10413</v>
      </c>
      <c r="J93" s="537" t="s">
        <v>10414</v>
      </c>
      <c r="K93" s="537" t="s">
        <v>10415</v>
      </c>
      <c r="L93" s="537" t="s">
        <v>10416</v>
      </c>
      <c r="M93" s="539" t="s">
        <v>10417</v>
      </c>
    </row>
    <row r="94" spans="1:13" ht="14.4" customHeight="1" x14ac:dyDescent="0.3">
      <c r="A94" s="4" t="str" cm="1">
        <f t="array" ref="A94">_xlfn.IFS(
template_selected_display_language='Footnote (Taxonomy) Labels'!$B$1,'Footnote (Taxonomy) Labels'!$B94,
template_selected_display_language='Footnote (Taxonomy) Labels'!$C$1,'Footnote (Taxonomy) Labels'!$C94,
template_selected_display_language='Footnote (Taxonomy) Labels'!$D$1,'Footnote (Taxonomy) Labels'!$D94,
template_selected_display_language='Footnote (Taxonomy) Labels'!$E$1,'Footnote (Taxonomy) Labels'!$E94,
template_selected_display_language='Footnote (Taxonomy) Labels'!$F$1,'Footnote (Taxonomy) Labels'!$F94,
template_selected_display_language='Footnote (Taxonomy) Labels'!$G$1,'Footnote (Taxonomy) Labels'!$G94,
template_selected_display_language='Footnote (Taxonomy) Labels'!$H$1,'Footnote (Taxonomy) Labels'!$H94,
template_selected_display_language='Footnote (Taxonomy) Labels'!$I$1,'Footnote (Taxonomy) Labels'!$I94,
template_selected_display_language='Footnote (Taxonomy) Labels'!$J$1,'Footnote (Taxonomy) Labels'!$J94,
template_selected_display_language='Footnote (Taxonomy) Labels'!$K$1,'Footnote (Taxonomy) Labels'!$K94,
template_selected_display_language='Footnote (Taxonomy) Labels'!$L$1,'Footnote (Taxonomy) Labels'!$L94,
template_selected_display_language='Footnote (Taxonomy) Labels'!$M$1,'Footnote (Taxonomy) Labels'!$M94
)</f>
        <v>Écart de rémunération en pourcentage entre les salariés femmes et hommes</v>
      </c>
      <c r="B94" s="544" t="s">
        <v>10418</v>
      </c>
      <c r="C94" s="537" t="s">
        <v>10419</v>
      </c>
      <c r="D94" s="537" t="s">
        <v>10420</v>
      </c>
      <c r="E94" s="537" t="s">
        <v>10421</v>
      </c>
      <c r="F94" s="537" t="s">
        <v>7383</v>
      </c>
      <c r="G94" s="537" t="s">
        <v>10422</v>
      </c>
      <c r="H94" s="537" t="s">
        <v>10423</v>
      </c>
      <c r="I94" s="537" t="s">
        <v>10424</v>
      </c>
      <c r="J94" s="537" t="s">
        <v>10425</v>
      </c>
      <c r="K94" s="537" t="s">
        <v>10426</v>
      </c>
      <c r="L94" s="537" t="s">
        <v>10427</v>
      </c>
      <c r="M94" s="539" t="s">
        <v>10428</v>
      </c>
    </row>
    <row r="95" spans="1:13" ht="14.4" customHeight="1" x14ac:dyDescent="0.3">
      <c r="A95" s="4" t="str" cm="1">
        <f t="array" ref="A95">_xlfn.IFS(
template_selected_display_language='Footnote (Taxonomy) Labels'!$B$1,'Footnote (Taxonomy) Labels'!$B95,
template_selected_display_language='Footnote (Taxonomy) Labels'!$C$1,'Footnote (Taxonomy) Labels'!$C95,
template_selected_display_language='Footnote (Taxonomy) Labels'!$D$1,'Footnote (Taxonomy) Labels'!$D95,
template_selected_display_language='Footnote (Taxonomy) Labels'!$E$1,'Footnote (Taxonomy) Labels'!$E95,
template_selected_display_language='Footnote (Taxonomy) Labels'!$F$1,'Footnote (Taxonomy) Labels'!$F95,
template_selected_display_language='Footnote (Taxonomy) Labels'!$G$1,'Footnote (Taxonomy) Labels'!$G95,
template_selected_display_language='Footnote (Taxonomy) Labels'!$H$1,'Footnote (Taxonomy) Labels'!$H95,
template_selected_display_language='Footnote (Taxonomy) Labels'!$I$1,'Footnote (Taxonomy) Labels'!$I95,
template_selected_display_language='Footnote (Taxonomy) Labels'!$J$1,'Footnote (Taxonomy) Labels'!$J95,
template_selected_display_language='Footnote (Taxonomy) Labels'!$K$1,'Footnote (Taxonomy) Labels'!$K95,
template_selected_display_language='Footnote (Taxonomy) Labels'!$L$1,'Footnote (Taxonomy) Labels'!$L95,
template_selected_display_language='Footnote (Taxonomy) Labels'!$M$1,'Footnote (Taxonomy) Labels'!$M95
)</f>
        <v>Pourcentage des salariés couverts par des conventions collectives</v>
      </c>
      <c r="B95" s="544" t="s">
        <v>10429</v>
      </c>
      <c r="C95" s="537" t="s">
        <v>10430</v>
      </c>
      <c r="D95" s="537" t="s">
        <v>10431</v>
      </c>
      <c r="E95" s="537" t="s">
        <v>10432</v>
      </c>
      <c r="F95" s="537" t="s">
        <v>10433</v>
      </c>
      <c r="G95" s="537" t="s">
        <v>10434</v>
      </c>
      <c r="H95" s="537" t="s">
        <v>10435</v>
      </c>
      <c r="I95" s="537" t="s">
        <v>10436</v>
      </c>
      <c r="J95" s="537" t="s">
        <v>10437</v>
      </c>
      <c r="K95" s="537" t="s">
        <v>10438</v>
      </c>
      <c r="L95" s="537" t="s">
        <v>10439</v>
      </c>
      <c r="M95" s="539" t="s">
        <v>10440</v>
      </c>
    </row>
    <row r="96" spans="1:13" ht="14.4" customHeight="1" x14ac:dyDescent="0.3">
      <c r="A96" s="4" t="str" cm="1">
        <f t="array" ref="A96">_xlfn.IFS(
template_selected_display_language='Footnote (Taxonomy) Labels'!$B$1,'Footnote (Taxonomy) Labels'!$B96,
template_selected_display_language='Footnote (Taxonomy) Labels'!$C$1,'Footnote (Taxonomy) Labels'!$C96,
template_selected_display_language='Footnote (Taxonomy) Labels'!$D$1,'Footnote (Taxonomy) Labels'!$D96,
template_selected_display_language='Footnote (Taxonomy) Labels'!$E$1,'Footnote (Taxonomy) Labels'!$E96,
template_selected_display_language='Footnote (Taxonomy) Labels'!$F$1,'Footnote (Taxonomy) Labels'!$F96,
template_selected_display_language='Footnote (Taxonomy) Labels'!$G$1,'Footnote (Taxonomy) Labels'!$G96,
template_selected_display_language='Footnote (Taxonomy) Labels'!$H$1,'Footnote (Taxonomy) Labels'!$H96,
template_selected_display_language='Footnote (Taxonomy) Labels'!$I$1,'Footnote (Taxonomy) Labels'!$I96,
template_selected_display_language='Footnote (Taxonomy) Labels'!$J$1,'Footnote (Taxonomy) Labels'!$J96,
template_selected_display_language='Footnote (Taxonomy) Labels'!$K$1,'Footnote (Taxonomy) Labels'!$K96,
template_selected_display_language='Footnote (Taxonomy) Labels'!$L$1,'Footnote (Taxonomy) Labels'!$L96,
template_selected_display_language='Footnote (Taxonomy) Labels'!$M$1,'Footnote (Taxonomy) Labels'!$M96
)</f>
        <v>Nombre moyen d’heures annuelles de formation par salarié homme</v>
      </c>
      <c r="B96" s="544" t="s">
        <v>10441</v>
      </c>
      <c r="C96" s="537" t="s">
        <v>10442</v>
      </c>
      <c r="D96" s="537" t="s">
        <v>10443</v>
      </c>
      <c r="E96" s="537" t="s">
        <v>10444</v>
      </c>
      <c r="F96" s="537" t="s">
        <v>10445</v>
      </c>
      <c r="G96" s="537" t="s">
        <v>10446</v>
      </c>
      <c r="H96" s="537" t="s">
        <v>10447</v>
      </c>
      <c r="I96" s="537" t="s">
        <v>10448</v>
      </c>
      <c r="J96" s="537" t="s">
        <v>10449</v>
      </c>
      <c r="K96" s="537" t="s">
        <v>10450</v>
      </c>
      <c r="L96" s="537" t="s">
        <v>10451</v>
      </c>
      <c r="M96" s="539" t="s">
        <v>10452</v>
      </c>
    </row>
    <row r="97" spans="1:13" ht="14.4" customHeight="1" x14ac:dyDescent="0.3">
      <c r="A97" s="4" t="str" cm="1">
        <f t="array" ref="A97">_xlfn.IFS(
template_selected_display_language='Footnote (Taxonomy) Labels'!$B$1,'Footnote (Taxonomy) Labels'!$B97,
template_selected_display_language='Footnote (Taxonomy) Labels'!$C$1,'Footnote (Taxonomy) Labels'!$C97,
template_selected_display_language='Footnote (Taxonomy) Labels'!$D$1,'Footnote (Taxonomy) Labels'!$D97,
template_selected_display_language='Footnote (Taxonomy) Labels'!$E$1,'Footnote (Taxonomy) Labels'!$E97,
template_selected_display_language='Footnote (Taxonomy) Labels'!$F$1,'Footnote (Taxonomy) Labels'!$F97,
template_selected_display_language='Footnote (Taxonomy) Labels'!$G$1,'Footnote (Taxonomy) Labels'!$G97,
template_selected_display_language='Footnote (Taxonomy) Labels'!$H$1,'Footnote (Taxonomy) Labels'!$H97,
template_selected_display_language='Footnote (Taxonomy) Labels'!$I$1,'Footnote (Taxonomy) Labels'!$I97,
template_selected_display_language='Footnote (Taxonomy) Labels'!$J$1,'Footnote (Taxonomy) Labels'!$J97,
template_selected_display_language='Footnote (Taxonomy) Labels'!$K$1,'Footnote (Taxonomy) Labels'!$K97,
template_selected_display_language='Footnote (Taxonomy) Labels'!$L$1,'Footnote (Taxonomy) Labels'!$L97,
template_selected_display_language='Footnote (Taxonomy) Labels'!$M$1,'Footnote (Taxonomy) Labels'!$M97
)</f>
        <v>Nombre moyen d’heures annuelles de formation par salarié femme</v>
      </c>
      <c r="B97" s="544" t="s">
        <v>10453</v>
      </c>
      <c r="C97" s="537" t="s">
        <v>10454</v>
      </c>
      <c r="D97" s="537" t="s">
        <v>10455</v>
      </c>
      <c r="E97" s="537" t="s">
        <v>10456</v>
      </c>
      <c r="F97" s="537" t="s">
        <v>10457</v>
      </c>
      <c r="G97" s="537" t="s">
        <v>10458</v>
      </c>
      <c r="H97" s="537" t="s">
        <v>10459</v>
      </c>
      <c r="I97" s="537" t="s">
        <v>10460</v>
      </c>
      <c r="J97" s="537" t="s">
        <v>10461</v>
      </c>
      <c r="K97" s="537" t="s">
        <v>10462</v>
      </c>
      <c r="L97" s="537" t="s">
        <v>10463</v>
      </c>
      <c r="M97" s="539" t="s">
        <v>10464</v>
      </c>
    </row>
    <row r="98" spans="1:13" ht="14.4" customHeight="1" x14ac:dyDescent="0.3">
      <c r="A98" s="4" t="str" cm="1">
        <f t="array" ref="A98">_xlfn.IFS(
template_selected_display_language='Footnote (Taxonomy) Labels'!$B$1,'Footnote (Taxonomy) Labels'!$B98,
template_selected_display_language='Footnote (Taxonomy) Labels'!$C$1,'Footnote (Taxonomy) Labels'!$C98,
template_selected_display_language='Footnote (Taxonomy) Labels'!$D$1,'Footnote (Taxonomy) Labels'!$D98,
template_selected_display_language='Footnote (Taxonomy) Labels'!$E$1,'Footnote (Taxonomy) Labels'!$E98,
template_selected_display_language='Footnote (Taxonomy) Labels'!$F$1,'Footnote (Taxonomy) Labels'!$F98,
template_selected_display_language='Footnote (Taxonomy) Labels'!$G$1,'Footnote (Taxonomy) Labels'!$G98,
template_selected_display_language='Footnote (Taxonomy) Labels'!$H$1,'Footnote (Taxonomy) Labels'!$H98,
template_selected_display_language='Footnote (Taxonomy) Labels'!$I$1,'Footnote (Taxonomy) Labels'!$I98,
template_selected_display_language='Footnote (Taxonomy) Labels'!$J$1,'Footnote (Taxonomy) Labels'!$J98,
template_selected_display_language='Footnote (Taxonomy) Labels'!$K$1,'Footnote (Taxonomy) Labels'!$K98,
template_selected_display_language='Footnote (Taxonomy) Labels'!$L$1,'Footnote (Taxonomy) Labels'!$L98,
template_selected_display_language='Footnote (Taxonomy) Labels'!$M$1,'Footnote (Taxonomy) Labels'!$M98
)</f>
        <v>Nombre moyen d’heures annuelles de formation par salarié d’un autre genre</v>
      </c>
      <c r="B98" s="544" t="s">
        <v>10465</v>
      </c>
      <c r="C98" s="537" t="s">
        <v>10466</v>
      </c>
      <c r="D98" s="537" t="s">
        <v>10467</v>
      </c>
      <c r="E98" s="537" t="s">
        <v>10468</v>
      </c>
      <c r="F98" s="537" t="s">
        <v>10469</v>
      </c>
      <c r="G98" s="537" t="s">
        <v>10470</v>
      </c>
      <c r="H98" s="537" t="s">
        <v>10471</v>
      </c>
      <c r="I98" s="537" t="s">
        <v>10472</v>
      </c>
      <c r="J98" s="537" t="s">
        <v>10473</v>
      </c>
      <c r="K98" s="537" t="s">
        <v>10474</v>
      </c>
      <c r="L98" s="537" t="s">
        <v>10475</v>
      </c>
      <c r="M98" s="539" t="s">
        <v>10476</v>
      </c>
    </row>
    <row r="99" spans="1:13" ht="14.4" customHeight="1" x14ac:dyDescent="0.3">
      <c r="A99" s="4" t="str" cm="1">
        <f t="array" ref="A99">_xlfn.IFS(
template_selected_display_language='Footnote (Taxonomy) Labels'!$B$1,'Footnote (Taxonomy) Labels'!$B99,
template_selected_display_language='Footnote (Taxonomy) Labels'!$C$1,'Footnote (Taxonomy) Labels'!$C99,
template_selected_display_language='Footnote (Taxonomy) Labels'!$D$1,'Footnote (Taxonomy) Labels'!$D99,
template_selected_display_language='Footnote (Taxonomy) Labels'!$E$1,'Footnote (Taxonomy) Labels'!$E99,
template_selected_display_language='Footnote (Taxonomy) Labels'!$F$1,'Footnote (Taxonomy) Labels'!$F99,
template_selected_display_language='Footnote (Taxonomy) Labels'!$G$1,'Footnote (Taxonomy) Labels'!$G99,
template_selected_display_language='Footnote (Taxonomy) Labels'!$H$1,'Footnote (Taxonomy) Labels'!$H99,
template_selected_display_language='Footnote (Taxonomy) Labels'!$I$1,'Footnote (Taxonomy) Labels'!$I99,
template_selected_display_language='Footnote (Taxonomy) Labels'!$J$1,'Footnote (Taxonomy) Labels'!$J99,
template_selected_display_language='Footnote (Taxonomy) Labels'!$K$1,'Footnote (Taxonomy) Labels'!$K99,
template_selected_display_language='Footnote (Taxonomy) Labels'!$L$1,'Footnote (Taxonomy) Labels'!$L99,
template_selected_display_language='Footnote (Taxonomy) Labels'!$M$1,'Footnote (Taxonomy) Labels'!$M99
)</f>
        <v xml:space="preserve">Nombre moyen d’heures annuelles de formation par salarié dont le genre n'est pas communiqué </v>
      </c>
      <c r="B99" s="544" t="s">
        <v>10477</v>
      </c>
      <c r="C99" s="537" t="s">
        <v>10478</v>
      </c>
      <c r="D99" s="537" t="s">
        <v>10479</v>
      </c>
      <c r="E99" s="537" t="s">
        <v>10480</v>
      </c>
      <c r="F99" s="537" t="s">
        <v>10481</v>
      </c>
      <c r="G99" s="537" t="s">
        <v>10482</v>
      </c>
      <c r="H99" s="537" t="s">
        <v>10483</v>
      </c>
      <c r="I99" s="537" t="s">
        <v>10484</v>
      </c>
      <c r="J99" s="537" t="s">
        <v>10485</v>
      </c>
      <c r="K99" s="537" t="s">
        <v>10486</v>
      </c>
      <c r="L99" s="537" t="s">
        <v>10487</v>
      </c>
      <c r="M99" s="539" t="s">
        <v>10488</v>
      </c>
    </row>
    <row r="100" spans="1:13" ht="14.4" customHeight="1" x14ac:dyDescent="0.3">
      <c r="A100" s="4" t="str" cm="1">
        <f t="array" ref="A100">_xlfn.IFS(
template_selected_display_language='Footnote (Taxonomy) Labels'!$B$1,'Footnote (Taxonomy) Labels'!$B100,
template_selected_display_language='Footnote (Taxonomy) Labels'!$C$1,'Footnote (Taxonomy) Labels'!$C100,
template_selected_display_language='Footnote (Taxonomy) Labels'!$D$1,'Footnote (Taxonomy) Labels'!$D100,
template_selected_display_language='Footnote (Taxonomy) Labels'!$E$1,'Footnote (Taxonomy) Labels'!$E100,
template_selected_display_language='Footnote (Taxonomy) Labels'!$F$1,'Footnote (Taxonomy) Labels'!$F100,
template_selected_display_language='Footnote (Taxonomy) Labels'!$G$1,'Footnote (Taxonomy) Labels'!$G100,
template_selected_display_language='Footnote (Taxonomy) Labels'!$H$1,'Footnote (Taxonomy) Labels'!$H100,
template_selected_display_language='Footnote (Taxonomy) Labels'!$I$1,'Footnote (Taxonomy) Labels'!$I100,
template_selected_display_language='Footnote (Taxonomy) Labels'!$J$1,'Footnote (Taxonomy) Labels'!$J100,
template_selected_display_language='Footnote (Taxonomy) Labels'!$K$1,'Footnote (Taxonomy) Labels'!$K100,
template_selected_display_language='Footnote (Taxonomy) Labels'!$L$1,'Footnote (Taxonomy) Labels'!$L100,
template_selected_display_language='Footnote (Taxonomy) Labels'!$M$1,'Footnote (Taxonomy) Labels'!$M100
)</f>
        <v>Nombre total de condamnations pour infraction à la législation sur la lutte contre la corruption et les actes de corruption</v>
      </c>
      <c r="B100" s="544" t="s">
        <v>10489</v>
      </c>
      <c r="C100" s="537" t="s">
        <v>10490</v>
      </c>
      <c r="D100" s="537" t="s">
        <v>10491</v>
      </c>
      <c r="E100" s="537" t="s">
        <v>7779</v>
      </c>
      <c r="F100" s="537" t="s">
        <v>7780</v>
      </c>
      <c r="G100" s="537" t="s">
        <v>10492</v>
      </c>
      <c r="H100" s="537" t="s">
        <v>10493</v>
      </c>
      <c r="I100" s="537" t="s">
        <v>10494</v>
      </c>
      <c r="J100" s="537" t="s">
        <v>10495</v>
      </c>
      <c r="K100" s="537" t="s">
        <v>7787</v>
      </c>
      <c r="L100" s="537" t="s">
        <v>10496</v>
      </c>
      <c r="M100" s="539" t="s">
        <v>7785</v>
      </c>
    </row>
    <row r="101" spans="1:13" ht="14.4" customHeight="1" x14ac:dyDescent="0.3">
      <c r="A101" s="4" t="str" cm="1">
        <f t="array" ref="A101">_xlfn.IFS(
template_selected_display_language='Footnote (Taxonomy) Labels'!$B$1,'Footnote (Taxonomy) Labels'!$B101,
template_selected_display_language='Footnote (Taxonomy) Labels'!$C$1,'Footnote (Taxonomy) Labels'!$C101,
template_selected_display_language='Footnote (Taxonomy) Labels'!$D$1,'Footnote (Taxonomy) Labels'!$D101,
template_selected_display_language='Footnote (Taxonomy) Labels'!$E$1,'Footnote (Taxonomy) Labels'!$E101,
template_selected_display_language='Footnote (Taxonomy) Labels'!$F$1,'Footnote (Taxonomy) Labels'!$F101,
template_selected_display_language='Footnote (Taxonomy) Labels'!$G$1,'Footnote (Taxonomy) Labels'!$G101,
template_selected_display_language='Footnote (Taxonomy) Labels'!$H$1,'Footnote (Taxonomy) Labels'!$H101,
template_selected_display_language='Footnote (Taxonomy) Labels'!$I$1,'Footnote (Taxonomy) Labels'!$I101,
template_selected_display_language='Footnote (Taxonomy) Labels'!$J$1,'Footnote (Taxonomy) Labels'!$J101,
template_selected_display_language='Footnote (Taxonomy) Labels'!$K$1,'Footnote (Taxonomy) Labels'!$K101,
template_selected_display_language='Footnote (Taxonomy) Labels'!$L$1,'Footnote (Taxonomy) Labels'!$L101,
template_selected_display_language='Footnote (Taxonomy) Labels'!$M$1,'Footnote (Taxonomy) Labels'!$M101
)</f>
        <v>Montant total des amendes pour infraction à la législation sur la lutte contre la corruption et les actes de corruption</v>
      </c>
      <c r="B101" s="544" t="s">
        <v>10497</v>
      </c>
      <c r="C101" s="537" t="s">
        <v>7790</v>
      </c>
      <c r="D101" s="537" t="s">
        <v>10498</v>
      </c>
      <c r="E101" s="537" t="s">
        <v>7792</v>
      </c>
      <c r="F101" s="537" t="s">
        <v>7793</v>
      </c>
      <c r="G101" s="537" t="s">
        <v>10499</v>
      </c>
      <c r="H101" s="537" t="s">
        <v>10500</v>
      </c>
      <c r="I101" s="537" t="s">
        <v>10501</v>
      </c>
      <c r="J101" s="537" t="s">
        <v>7797</v>
      </c>
      <c r="K101" s="537" t="s">
        <v>10502</v>
      </c>
      <c r="L101" s="537" t="s">
        <v>10503</v>
      </c>
      <c r="M101" s="539" t="s">
        <v>10504</v>
      </c>
    </row>
    <row r="102" spans="1:13" ht="14.4" customHeight="1" x14ac:dyDescent="0.3">
      <c r="A102" s="4" t="str" cm="1">
        <f t="array" ref="A102">_xlfn.IFS(
template_selected_display_language='Footnote (Taxonomy) Labels'!$B$1,'Footnote (Taxonomy) Labels'!$B102,
template_selected_display_language='Footnote (Taxonomy) Labels'!$C$1,'Footnote (Taxonomy) Labels'!$C102,
template_selected_display_language='Footnote (Taxonomy) Labels'!$D$1,'Footnote (Taxonomy) Labels'!$D102,
template_selected_display_language='Footnote (Taxonomy) Labels'!$E$1,'Footnote (Taxonomy) Labels'!$E102,
template_selected_display_language='Footnote (Taxonomy) Labels'!$F$1,'Footnote (Taxonomy) Labels'!$F102,
template_selected_display_language='Footnote (Taxonomy) Labels'!$G$1,'Footnote (Taxonomy) Labels'!$G102,
template_selected_display_language='Footnote (Taxonomy) Labels'!$H$1,'Footnote (Taxonomy) Labels'!$H102,
template_selected_display_language='Footnote (Taxonomy) Labels'!$I$1,'Footnote (Taxonomy) Labels'!$I102,
template_selected_display_language='Footnote (Taxonomy) Labels'!$J$1,'Footnote (Taxonomy) Labels'!$J102,
template_selected_display_language='Footnote (Taxonomy) Labels'!$K$1,'Footnote (Taxonomy) Labels'!$K102,
template_selected_display_language='Footnote (Taxonomy) Labels'!$L$1,'Footnote (Taxonomy) Labels'!$L102,
template_selected_display_language='Footnote (Taxonomy) Labels'!$M$1,'Footnote (Taxonomy) Labels'!$M102
)</f>
        <v>Description des grands groupes de produits et/ou services proposés</v>
      </c>
      <c r="B102" s="544" t="s">
        <v>10505</v>
      </c>
      <c r="C102" s="537" t="s">
        <v>10506</v>
      </c>
      <c r="D102" s="537" t="s">
        <v>5387</v>
      </c>
      <c r="E102" s="537" t="s">
        <v>5388</v>
      </c>
      <c r="F102" s="537" t="s">
        <v>5389</v>
      </c>
      <c r="G102" s="537" t="s">
        <v>10507</v>
      </c>
      <c r="H102" s="537" t="s">
        <v>5391</v>
      </c>
      <c r="I102" s="537" t="s">
        <v>10508</v>
      </c>
      <c r="J102" s="537" t="s">
        <v>5393</v>
      </c>
      <c r="K102" s="537" t="s">
        <v>10509</v>
      </c>
      <c r="L102" s="537" t="s">
        <v>10510</v>
      </c>
      <c r="M102" s="539" t="s">
        <v>5394</v>
      </c>
    </row>
    <row r="103" spans="1:13" ht="14.4" customHeight="1" x14ac:dyDescent="0.3">
      <c r="A103" s="4" t="str" cm="1">
        <f t="array" ref="A103">_xlfn.IFS(
template_selected_display_language='Footnote (Taxonomy) Labels'!$B$1,'Footnote (Taxonomy) Labels'!$B103,
template_selected_display_language='Footnote (Taxonomy) Labels'!$C$1,'Footnote (Taxonomy) Labels'!$C103,
template_selected_display_language='Footnote (Taxonomy) Labels'!$D$1,'Footnote (Taxonomy) Labels'!$D103,
template_selected_display_language='Footnote (Taxonomy) Labels'!$E$1,'Footnote (Taxonomy) Labels'!$E103,
template_selected_display_language='Footnote (Taxonomy) Labels'!$F$1,'Footnote (Taxonomy) Labels'!$F103,
template_selected_display_language='Footnote (Taxonomy) Labels'!$G$1,'Footnote (Taxonomy) Labels'!$G103,
template_selected_display_language='Footnote (Taxonomy) Labels'!$H$1,'Footnote (Taxonomy) Labels'!$H103,
template_selected_display_language='Footnote (Taxonomy) Labels'!$I$1,'Footnote (Taxonomy) Labels'!$I103,
template_selected_display_language='Footnote (Taxonomy) Labels'!$J$1,'Footnote (Taxonomy) Labels'!$J103,
template_selected_display_language='Footnote (Taxonomy) Labels'!$K$1,'Footnote (Taxonomy) Labels'!$K103,
template_selected_display_language='Footnote (Taxonomy) Labels'!$L$1,'Footnote (Taxonomy) Labels'!$L103,
template_selected_display_language='Footnote (Taxonomy) Labels'!$M$1,'Footnote (Taxonomy) Labels'!$M103
)</f>
        <v xml:space="preserve">Description du ou des grands marchés sur lesquels l'entreprise exerce ses activités </v>
      </c>
      <c r="B103" s="544" t="s">
        <v>10511</v>
      </c>
      <c r="C103" s="537" t="s">
        <v>10512</v>
      </c>
      <c r="D103" s="537" t="s">
        <v>10513</v>
      </c>
      <c r="E103" s="537" t="s">
        <v>10514</v>
      </c>
      <c r="F103" s="537" t="s">
        <v>10515</v>
      </c>
      <c r="G103" s="537" t="s">
        <v>10516</v>
      </c>
      <c r="H103" s="537" t="s">
        <v>10517</v>
      </c>
      <c r="I103" s="537" t="s">
        <v>10518</v>
      </c>
      <c r="J103" s="537" t="s">
        <v>10519</v>
      </c>
      <c r="K103" s="537" t="s">
        <v>10520</v>
      </c>
      <c r="L103" s="537" t="s">
        <v>10521</v>
      </c>
      <c r="M103" s="539" t="s">
        <v>10522</v>
      </c>
    </row>
    <row r="104" spans="1:13" ht="14.4" customHeight="1" x14ac:dyDescent="0.3">
      <c r="A104" s="4" t="str" cm="1">
        <f t="array" ref="A104">_xlfn.IFS(
template_selected_display_language='Footnote (Taxonomy) Labels'!$B$1,'Footnote (Taxonomy) Labels'!$B104,
template_selected_display_language='Footnote (Taxonomy) Labels'!$C$1,'Footnote (Taxonomy) Labels'!$C104,
template_selected_display_language='Footnote (Taxonomy) Labels'!$D$1,'Footnote (Taxonomy) Labels'!$D104,
template_selected_display_language='Footnote (Taxonomy) Labels'!$E$1,'Footnote (Taxonomy) Labels'!$E104,
template_selected_display_language='Footnote (Taxonomy) Labels'!$F$1,'Footnote (Taxonomy) Labels'!$F104,
template_selected_display_language='Footnote (Taxonomy) Labels'!$G$1,'Footnote (Taxonomy) Labels'!$G104,
template_selected_display_language='Footnote (Taxonomy) Labels'!$H$1,'Footnote (Taxonomy) Labels'!$H104,
template_selected_display_language='Footnote (Taxonomy) Labels'!$I$1,'Footnote (Taxonomy) Labels'!$I104,
template_selected_display_language='Footnote (Taxonomy) Labels'!$J$1,'Footnote (Taxonomy) Labels'!$J104,
template_selected_display_language='Footnote (Taxonomy) Labels'!$K$1,'Footnote (Taxonomy) Labels'!$K104,
template_selected_display_language='Footnote (Taxonomy) Labels'!$L$1,'Footnote (Taxonomy) Labels'!$L104,
template_selected_display_language='Footnote (Taxonomy) Labels'!$M$1,'Footnote (Taxonomy) Labels'!$M104
)</f>
        <v>Description des principales relations d’affaires (par ex. principaux fournisseurs, clients, canaux de distribution)</v>
      </c>
      <c r="B104" s="544" t="s">
        <v>10523</v>
      </c>
      <c r="C104" s="537" t="s">
        <v>5412</v>
      </c>
      <c r="D104" s="537" t="s">
        <v>10524</v>
      </c>
      <c r="E104" s="537" t="s">
        <v>10525</v>
      </c>
      <c r="F104" s="537" t="s">
        <v>10526</v>
      </c>
      <c r="G104" s="537" t="s">
        <v>5416</v>
      </c>
      <c r="H104" s="537" t="s">
        <v>5417</v>
      </c>
      <c r="I104" s="537" t="s">
        <v>10527</v>
      </c>
      <c r="J104" s="537" t="s">
        <v>5419</v>
      </c>
      <c r="K104" s="537" t="s">
        <v>10528</v>
      </c>
      <c r="L104" s="537" t="s">
        <v>10529</v>
      </c>
      <c r="M104" s="539" t="s">
        <v>5420</v>
      </c>
    </row>
    <row r="105" spans="1:13" ht="14.4" customHeight="1" x14ac:dyDescent="0.3">
      <c r="A105" s="4" t="str" cm="1">
        <f t="array" ref="A105">_xlfn.IFS(
template_selected_display_language='Footnote (Taxonomy) Labels'!$B$1,'Footnote (Taxonomy) Labels'!$B105,
template_selected_display_language='Footnote (Taxonomy) Labels'!$C$1,'Footnote (Taxonomy) Labels'!$C105,
template_selected_display_language='Footnote (Taxonomy) Labels'!$D$1,'Footnote (Taxonomy) Labels'!$D105,
template_selected_display_language='Footnote (Taxonomy) Labels'!$E$1,'Footnote (Taxonomy) Labels'!$E105,
template_selected_display_language='Footnote (Taxonomy) Labels'!$F$1,'Footnote (Taxonomy) Labels'!$F105,
template_selected_display_language='Footnote (Taxonomy) Labels'!$G$1,'Footnote (Taxonomy) Labels'!$G105,
template_selected_display_language='Footnote (Taxonomy) Labels'!$H$1,'Footnote (Taxonomy) Labels'!$H105,
template_selected_display_language='Footnote (Taxonomy) Labels'!$I$1,'Footnote (Taxonomy) Labels'!$I105,
template_selected_display_language='Footnote (Taxonomy) Labels'!$J$1,'Footnote (Taxonomy) Labels'!$J105,
template_selected_display_language='Footnote (Taxonomy) Labels'!$K$1,'Footnote (Taxonomy) Labels'!$K105,
template_selected_display_language='Footnote (Taxonomy) Labels'!$L$1,'Footnote (Taxonomy) Labels'!$L105,
template_selected_display_language='Footnote (Taxonomy) Labels'!$M$1,'Footnote (Taxonomy) Labels'!$M105
)</f>
        <v>Description des principaux éléments de la stratégie qui se rattachent à des enjeux de durabilité ou qui les influencent</v>
      </c>
      <c r="B105" s="544" t="s">
        <v>10530</v>
      </c>
      <c r="C105" s="537" t="s">
        <v>5438</v>
      </c>
      <c r="D105" s="537" t="s">
        <v>10531</v>
      </c>
      <c r="E105" s="537" t="s">
        <v>5440</v>
      </c>
      <c r="F105" s="537" t="s">
        <v>5441</v>
      </c>
      <c r="G105" s="537" t="s">
        <v>10532</v>
      </c>
      <c r="H105" s="537" t="s">
        <v>10533</v>
      </c>
      <c r="I105" s="537" t="s">
        <v>10534</v>
      </c>
      <c r="J105" s="537" t="s">
        <v>10535</v>
      </c>
      <c r="K105" s="537" t="s">
        <v>10536</v>
      </c>
      <c r="L105" s="537" t="s">
        <v>10537</v>
      </c>
      <c r="M105" s="539" t="s">
        <v>10538</v>
      </c>
    </row>
    <row r="106" spans="1:13" ht="14.4" customHeight="1" x14ac:dyDescent="0.3">
      <c r="A106" s="4" t="str" cm="1">
        <f t="array" ref="A106">_xlfn.IFS(
template_selected_display_language='Footnote (Taxonomy) Labels'!$B$1,'Footnote (Taxonomy) Labels'!$B106,
template_selected_display_language='Footnote (Taxonomy) Labels'!$C$1,'Footnote (Taxonomy) Labels'!$C106,
template_selected_display_language='Footnote (Taxonomy) Labels'!$D$1,'Footnote (Taxonomy) Labels'!$D106,
template_selected_display_language='Footnote (Taxonomy) Labels'!$E$1,'Footnote (Taxonomy) Labels'!$E106,
template_selected_display_language='Footnote (Taxonomy) Labels'!$F$1,'Footnote (Taxonomy) Labels'!$F106,
template_selected_display_language='Footnote (Taxonomy) Labels'!$G$1,'Footnote (Taxonomy) Labels'!$G106,
template_selected_display_language='Footnote (Taxonomy) Labels'!$H$1,'Footnote (Taxonomy) Labels'!$H106,
template_selected_display_language='Footnote (Taxonomy) Labels'!$I$1,'Footnote (Taxonomy) Labels'!$I106,
template_selected_display_language='Footnote (Taxonomy) Labels'!$J$1,'Footnote (Taxonomy) Labels'!$J106,
template_selected_display_language='Footnote (Taxonomy) Labels'!$K$1,'Footnote (Taxonomy) Labels'!$K106,
template_selected_display_language='Footnote (Taxonomy) Labels'!$L$1,'Footnote (Taxonomy) Labels'!$L106,
template_selected_display_language='Footnote (Taxonomy) Labels'!$M$1,'Footnote (Taxonomy) Labels'!$M106
)</f>
        <v>Description des pratiques, politiques et/ou initiatives futures</v>
      </c>
      <c r="B106" s="544" t="s">
        <v>10539</v>
      </c>
      <c r="C106" s="537" t="s">
        <v>10540</v>
      </c>
      <c r="D106" s="537" t="s">
        <v>10541</v>
      </c>
      <c r="E106" s="537" t="s">
        <v>10542</v>
      </c>
      <c r="F106" s="537" t="s">
        <v>10543</v>
      </c>
      <c r="G106" s="537" t="s">
        <v>10544</v>
      </c>
      <c r="H106" s="537" t="s">
        <v>10545</v>
      </c>
      <c r="I106" s="537" t="s">
        <v>10546</v>
      </c>
      <c r="J106" s="537" t="s">
        <v>10547</v>
      </c>
      <c r="K106" s="537" t="s">
        <v>10548</v>
      </c>
      <c r="L106" s="537" t="s">
        <v>10549</v>
      </c>
      <c r="M106" s="539" t="s">
        <v>10550</v>
      </c>
    </row>
    <row r="107" spans="1:13" ht="14.4" customHeight="1" x14ac:dyDescent="0.3">
      <c r="A107" s="4" t="str" cm="1">
        <f t="array" ref="A107">_xlfn.IFS(
template_selected_display_language='Footnote (Taxonomy) Labels'!$B$1,'Footnote (Taxonomy) Labels'!$B107,
template_selected_display_language='Footnote (Taxonomy) Labels'!$C$1,'Footnote (Taxonomy) Labels'!$C107,
template_selected_display_language='Footnote (Taxonomy) Labels'!$D$1,'Footnote (Taxonomy) Labels'!$D107,
template_selected_display_language='Footnote (Taxonomy) Labels'!$E$1,'Footnote (Taxonomy) Labels'!$E107,
template_selected_display_language='Footnote (Taxonomy) Labels'!$F$1,'Footnote (Taxonomy) Labels'!$F107,
template_selected_display_language='Footnote (Taxonomy) Labels'!$G$1,'Footnote (Taxonomy) Labels'!$G107,
template_selected_display_language='Footnote (Taxonomy) Labels'!$H$1,'Footnote (Taxonomy) Labels'!$H107,
template_selected_display_language='Footnote (Taxonomy) Labels'!$I$1,'Footnote (Taxonomy) Labels'!$I107,
template_selected_display_language='Footnote (Taxonomy) Labels'!$J$1,'Footnote (Taxonomy) Labels'!$J107,
template_selected_display_language='Footnote (Taxonomy) Labels'!$K$1,'Footnote (Taxonomy) Labels'!$K107,
template_selected_display_language='Footnote (Taxonomy) Labels'!$L$1,'Footnote (Taxonomy) Labels'!$L107,
template_selected_display_language='Footnote (Taxonomy) Labels'!$M$1,'Footnote (Taxonomy) Labels'!$M107
)</f>
        <v>Niveau hiérarchique le plus élevé parmi les salariés qui est responsable des politiques</v>
      </c>
      <c r="B107" s="544" t="s">
        <v>10551</v>
      </c>
      <c r="C107" s="537" t="s">
        <v>10552</v>
      </c>
      <c r="D107" s="537" t="s">
        <v>10553</v>
      </c>
      <c r="E107" s="537" t="s">
        <v>10554</v>
      </c>
      <c r="F107" s="537" t="s">
        <v>10555</v>
      </c>
      <c r="G107" s="537" t="s">
        <v>10556</v>
      </c>
      <c r="H107" s="537" t="s">
        <v>10557</v>
      </c>
      <c r="I107" s="537" t="s">
        <v>10558</v>
      </c>
      <c r="J107" s="537" t="s">
        <v>10559</v>
      </c>
      <c r="K107" s="537" t="s">
        <v>10560</v>
      </c>
      <c r="L107" s="537" t="s">
        <v>10561</v>
      </c>
      <c r="M107" s="539" t="s">
        <v>10562</v>
      </c>
    </row>
    <row r="108" spans="1:13" ht="14.4" customHeight="1" x14ac:dyDescent="0.3">
      <c r="A108" s="4" t="str" cm="1">
        <f t="array" ref="A108">_xlfn.IFS(
template_selected_display_language='Footnote (Taxonomy) Labels'!$B$1,'Footnote (Taxonomy) Labels'!$B108,
template_selected_display_language='Footnote (Taxonomy) Labels'!$C$1,'Footnote (Taxonomy) Labels'!$C108,
template_selected_display_language='Footnote (Taxonomy) Labels'!$D$1,'Footnote (Taxonomy) Labels'!$D108,
template_selected_display_language='Footnote (Taxonomy) Labels'!$E$1,'Footnote (Taxonomy) Labels'!$E108,
template_selected_display_language='Footnote (Taxonomy) Labels'!$F$1,'Footnote (Taxonomy) Labels'!$F108,
template_selected_display_language='Footnote (Taxonomy) Labels'!$G$1,'Footnote (Taxonomy) Labels'!$G108,
template_selected_display_language='Footnote (Taxonomy) Labels'!$H$1,'Footnote (Taxonomy) Labels'!$H108,
template_selected_display_language='Footnote (Taxonomy) Labels'!$I$1,'Footnote (Taxonomy) Labels'!$I108,
template_selected_display_language='Footnote (Taxonomy) Labels'!$J$1,'Footnote (Taxonomy) Labels'!$J108,
template_selected_display_language='Footnote (Taxonomy) Labels'!$K$1,'Footnote (Taxonomy) Labels'!$K108,
template_selected_display_language='Footnote (Taxonomy) Labels'!$L$1,'Footnote (Taxonomy) Labels'!$L108,
template_selected_display_language='Footnote (Taxonomy) Labels'!$M$1,'Footnote (Taxonomy) Labels'!$M108
)</f>
        <v>Description des cibles des pratiques, politiques ou initiatives futures</v>
      </c>
      <c r="B108" s="544" t="s">
        <v>10563</v>
      </c>
      <c r="C108" s="537" t="s">
        <v>10564</v>
      </c>
      <c r="D108" s="537" t="s">
        <v>10565</v>
      </c>
      <c r="E108" s="537" t="s">
        <v>10566</v>
      </c>
      <c r="F108" s="537" t="s">
        <v>10567</v>
      </c>
      <c r="G108" s="537" t="s">
        <v>10568</v>
      </c>
      <c r="H108" s="537" t="s">
        <v>10569</v>
      </c>
      <c r="I108" s="537" t="s">
        <v>10570</v>
      </c>
      <c r="J108" s="537" t="s">
        <v>10571</v>
      </c>
      <c r="K108" s="537" t="s">
        <v>10572</v>
      </c>
      <c r="L108" s="537" t="s">
        <v>10573</v>
      </c>
      <c r="M108" s="539" t="s">
        <v>10574</v>
      </c>
    </row>
    <row r="109" spans="1:13" ht="14.4" customHeight="1" x14ac:dyDescent="0.3">
      <c r="A109" s="4" t="str" cm="1">
        <f t="array" ref="A109">_xlfn.IFS(
template_selected_display_language='Footnote (Taxonomy) Labels'!$B$1,'Footnote (Taxonomy) Labels'!$B109,
template_selected_display_language='Footnote (Taxonomy) Labels'!$C$1,'Footnote (Taxonomy) Labels'!$C109,
template_selected_display_language='Footnote (Taxonomy) Labels'!$D$1,'Footnote (Taxonomy) Labels'!$D109,
template_selected_display_language='Footnote (Taxonomy) Labels'!$E$1,'Footnote (Taxonomy) Labels'!$E109,
template_selected_display_language='Footnote (Taxonomy) Labels'!$F$1,'Footnote (Taxonomy) Labels'!$F109,
template_selected_display_language='Footnote (Taxonomy) Labels'!$G$1,'Footnote (Taxonomy) Labels'!$G109,
template_selected_display_language='Footnote (Taxonomy) Labels'!$H$1,'Footnote (Taxonomy) Labels'!$H109,
template_selected_display_language='Footnote (Taxonomy) Labels'!$I$1,'Footnote (Taxonomy) Labels'!$I109,
template_selected_display_language='Footnote (Taxonomy) Labels'!$J$1,'Footnote (Taxonomy) Labels'!$J109,
template_selected_display_language='Footnote (Taxonomy) Labels'!$K$1,'Footnote (Taxonomy) Labels'!$K109,
template_selected_display_language='Footnote (Taxonomy) Labels'!$L$1,'Footnote (Taxonomy) Labels'!$L109,
template_selected_display_language='Footnote (Taxonomy) Labels'!$M$1,'Footnote (Taxonomy) Labels'!$M109
)</f>
        <v>Année de référence de la cible de réduction des émissions de gaz à effet de serre</v>
      </c>
      <c r="B109" s="544" t="s">
        <v>10575</v>
      </c>
      <c r="C109" s="537" t="s">
        <v>10576</v>
      </c>
      <c r="D109" s="537" t="s">
        <v>10577</v>
      </c>
      <c r="E109" s="537" t="s">
        <v>10578</v>
      </c>
      <c r="F109" s="537" t="s">
        <v>10579</v>
      </c>
      <c r="G109" s="537" t="s">
        <v>10580</v>
      </c>
      <c r="H109" s="537" t="s">
        <v>10581</v>
      </c>
      <c r="I109" s="537" t="s">
        <v>10582</v>
      </c>
      <c r="J109" s="537" t="s">
        <v>10583</v>
      </c>
      <c r="K109" s="537" t="s">
        <v>10584</v>
      </c>
      <c r="L109" s="537" t="s">
        <v>10585</v>
      </c>
      <c r="M109" s="539" t="s">
        <v>10586</v>
      </c>
    </row>
    <row r="110" spans="1:13" ht="14.4" customHeight="1" x14ac:dyDescent="0.3">
      <c r="A110" s="4" t="str" cm="1">
        <f t="array" ref="A110">_xlfn.IFS(
template_selected_display_language='Footnote (Taxonomy) Labels'!$B$1,'Footnote (Taxonomy) Labels'!$B110,
template_selected_display_language='Footnote (Taxonomy) Labels'!$C$1,'Footnote (Taxonomy) Labels'!$C110,
template_selected_display_language='Footnote (Taxonomy) Labels'!$D$1,'Footnote (Taxonomy) Labels'!$D110,
template_selected_display_language='Footnote (Taxonomy) Labels'!$E$1,'Footnote (Taxonomy) Labels'!$E110,
template_selected_display_language='Footnote (Taxonomy) Labels'!$F$1,'Footnote (Taxonomy) Labels'!$F110,
template_selected_display_language='Footnote (Taxonomy) Labels'!$G$1,'Footnote (Taxonomy) Labels'!$G110,
template_selected_display_language='Footnote (Taxonomy) Labels'!$H$1,'Footnote (Taxonomy) Labels'!$H110,
template_selected_display_language='Footnote (Taxonomy) Labels'!$I$1,'Footnote (Taxonomy) Labels'!$I110,
template_selected_display_language='Footnote (Taxonomy) Labels'!$J$1,'Footnote (Taxonomy) Labels'!$J110,
template_selected_display_language='Footnote (Taxonomy) Labels'!$K$1,'Footnote (Taxonomy) Labels'!$K110,
template_selected_display_language='Footnote (Taxonomy) Labels'!$L$1,'Footnote (Taxonomy) Labels'!$L110,
template_selected_display_language='Footnote (Taxonomy) Labels'!$M$1,'Footnote (Taxonomy) Labels'!$M110
)</f>
        <v>Année cible de la cible de réduction des émissions de gaz à effet de serre</v>
      </c>
      <c r="B110" s="544" t="s">
        <v>10587</v>
      </c>
      <c r="C110" s="537" t="s">
        <v>10588</v>
      </c>
      <c r="D110" s="537" t="s">
        <v>10589</v>
      </c>
      <c r="E110" s="537" t="s">
        <v>10590</v>
      </c>
      <c r="F110" s="537" t="s">
        <v>10591</v>
      </c>
      <c r="G110" s="537" t="s">
        <v>10592</v>
      </c>
      <c r="H110" s="537" t="s">
        <v>10593</v>
      </c>
      <c r="I110" s="537" t="s">
        <v>10594</v>
      </c>
      <c r="J110" s="537" t="s">
        <v>10595</v>
      </c>
      <c r="K110" s="537" t="s">
        <v>10596</v>
      </c>
      <c r="L110" s="537" t="s">
        <v>10597</v>
      </c>
      <c r="M110" s="539" t="s">
        <v>10598</v>
      </c>
    </row>
    <row r="111" spans="1:13" ht="14.4" customHeight="1" x14ac:dyDescent="0.3">
      <c r="A111" s="4" t="str" cm="1">
        <f t="array" ref="A111">_xlfn.IFS(
template_selected_display_language='Footnote (Taxonomy) Labels'!$B$1,'Footnote (Taxonomy) Labels'!$B111,
template_selected_display_language='Footnote (Taxonomy) Labels'!$C$1,'Footnote (Taxonomy) Labels'!$C111,
template_selected_display_language='Footnote (Taxonomy) Labels'!$D$1,'Footnote (Taxonomy) Labels'!$D111,
template_selected_display_language='Footnote (Taxonomy) Labels'!$E$1,'Footnote (Taxonomy) Labels'!$E111,
template_selected_display_language='Footnote (Taxonomy) Labels'!$F$1,'Footnote (Taxonomy) Labels'!$F111,
template_selected_display_language='Footnote (Taxonomy) Labels'!$G$1,'Footnote (Taxonomy) Labels'!$G111,
template_selected_display_language='Footnote (Taxonomy) Labels'!$H$1,'Footnote (Taxonomy) Labels'!$H111,
template_selected_display_language='Footnote (Taxonomy) Labels'!$I$1,'Footnote (Taxonomy) Labels'!$I111,
template_selected_display_language='Footnote (Taxonomy) Labels'!$J$1,'Footnote (Taxonomy) Labels'!$J111,
template_selected_display_language='Footnote (Taxonomy) Labels'!$K$1,'Footnote (Taxonomy) Labels'!$K111,
template_selected_display_language='Footnote (Taxonomy) Labels'!$L$1,'Footnote (Taxonomy) Labels'!$L111,
template_selected_display_language='Footnote (Taxonomy) Labels'!$M$1,'Footnote (Taxonomy) Labels'!$M111
)</f>
        <v>Publication de la liste des principales actions que l'entreprise entend mettre en œuvre pour atteindre ses cibles</v>
      </c>
      <c r="B111" s="544" t="s">
        <v>10599</v>
      </c>
      <c r="C111" s="537" t="s">
        <v>10600</v>
      </c>
      <c r="D111" s="537" t="s">
        <v>10601</v>
      </c>
      <c r="E111" s="537" t="s">
        <v>10602</v>
      </c>
      <c r="F111" s="537" t="s">
        <v>10603</v>
      </c>
      <c r="G111" s="537" t="s">
        <v>10604</v>
      </c>
      <c r="H111" s="537" t="s">
        <v>10605</v>
      </c>
      <c r="I111" s="537" t="s">
        <v>10606</v>
      </c>
      <c r="J111" s="537" t="s">
        <v>10607</v>
      </c>
      <c r="K111" s="537" t="s">
        <v>10608</v>
      </c>
      <c r="L111" s="537" t="s">
        <v>10609</v>
      </c>
      <c r="M111" s="539" t="s">
        <v>10610</v>
      </c>
    </row>
    <row r="112" spans="1:13" ht="14.4" customHeight="1" x14ac:dyDescent="0.3">
      <c r="A112" s="4" t="str" cm="1">
        <f t="array" ref="A112">_xlfn.IFS(
template_selected_display_language='Footnote (Taxonomy) Labels'!$B$1,'Footnote (Taxonomy) Labels'!$B112,
template_selected_display_language='Footnote (Taxonomy) Labels'!$C$1,'Footnote (Taxonomy) Labels'!$C112,
template_selected_display_language='Footnote (Taxonomy) Labels'!$D$1,'Footnote (Taxonomy) Labels'!$D112,
template_selected_display_language='Footnote (Taxonomy) Labels'!$E$1,'Footnote (Taxonomy) Labels'!$E112,
template_selected_display_language='Footnote (Taxonomy) Labels'!$F$1,'Footnote (Taxonomy) Labels'!$F112,
template_selected_display_language='Footnote (Taxonomy) Labels'!$G$1,'Footnote (Taxonomy) Labels'!$G112,
template_selected_display_language='Footnote (Taxonomy) Labels'!$H$1,'Footnote (Taxonomy) Labels'!$H112,
template_selected_display_language='Footnote (Taxonomy) Labels'!$I$1,'Footnote (Taxonomy) Labels'!$I112,
template_selected_display_language='Footnote (Taxonomy) Labels'!$J$1,'Footnote (Taxonomy) Labels'!$J112,
template_selected_display_language='Footnote (Taxonomy) Labels'!$K$1,'Footnote (Taxonomy) Labels'!$K112,
template_selected_display_language='Footnote (Taxonomy) Labels'!$L$1,'Footnote (Taxonomy) Labels'!$L112,
template_selected_display_language='Footnote (Taxonomy) Labels'!$M$1,'Footnote (Taxonomy) Labels'!$M112
)</f>
        <v>Description d’un plan de transition pour l’atténuation du changement climatique comprenant une explication de la manière dont il contribue à réduire les émissions de gaz à effet de serre (GES)</v>
      </c>
      <c r="B112" s="544" t="s">
        <v>10611</v>
      </c>
      <c r="C112" s="537" t="s">
        <v>10612</v>
      </c>
      <c r="D112" s="537" t="s">
        <v>10613</v>
      </c>
      <c r="E112" s="537" t="s">
        <v>10614</v>
      </c>
      <c r="F112" s="537" t="s">
        <v>6047</v>
      </c>
      <c r="G112" s="537" t="s">
        <v>10615</v>
      </c>
      <c r="H112" s="537" t="s">
        <v>10616</v>
      </c>
      <c r="I112" s="537" t="s">
        <v>10617</v>
      </c>
      <c r="J112" s="537" t="s">
        <v>10618</v>
      </c>
      <c r="K112" s="537" t="s">
        <v>10619</v>
      </c>
      <c r="L112" s="537" t="s">
        <v>10620</v>
      </c>
      <c r="M112" s="539" t="s">
        <v>10621</v>
      </c>
    </row>
    <row r="113" spans="1:13" ht="14.4" customHeight="1" x14ac:dyDescent="0.3">
      <c r="A113" s="4" t="str" cm="1">
        <f t="array" ref="A113">_xlfn.IFS(
template_selected_display_language='Footnote (Taxonomy) Labels'!$B$1,'Footnote (Taxonomy) Labels'!$B113,
template_selected_display_language='Footnote (Taxonomy) Labels'!$C$1,'Footnote (Taxonomy) Labels'!$C113,
template_selected_display_language='Footnote (Taxonomy) Labels'!$D$1,'Footnote (Taxonomy) Labels'!$D113,
template_selected_display_language='Footnote (Taxonomy) Labels'!$E$1,'Footnote (Taxonomy) Labels'!$E113,
template_selected_display_language='Footnote (Taxonomy) Labels'!$F$1,'Footnote (Taxonomy) Labels'!$F113,
template_selected_display_language='Footnote (Taxonomy) Labels'!$G$1,'Footnote (Taxonomy) Labels'!$G113,
template_selected_display_language='Footnote (Taxonomy) Labels'!$H$1,'Footnote (Taxonomy) Labels'!$H113,
template_selected_display_language='Footnote (Taxonomy) Labels'!$I$1,'Footnote (Taxonomy) Labels'!$I113,
template_selected_display_language='Footnote (Taxonomy) Labels'!$J$1,'Footnote (Taxonomy) Labels'!$J113,
template_selected_display_language='Footnote (Taxonomy) Labels'!$K$1,'Footnote (Taxonomy) Labels'!$K113,
template_selected_display_language='Footnote (Taxonomy) Labels'!$L$1,'Footnote (Taxonomy) Labels'!$L113,
template_selected_display_language='Footnote (Taxonomy) Labels'!$M$1,'Footnote (Taxonomy) Labels'!$M113
)</f>
        <v>Date d’adoption du plan de transition pour l’entreprise n’ayant pas encore adopté de plan de transition</v>
      </c>
      <c r="B113" s="544" t="s">
        <v>10622</v>
      </c>
      <c r="C113" s="537" t="s">
        <v>10623</v>
      </c>
      <c r="D113" s="537" t="s">
        <v>10624</v>
      </c>
      <c r="E113" s="537" t="s">
        <v>10625</v>
      </c>
      <c r="F113" s="537" t="s">
        <v>10626</v>
      </c>
      <c r="G113" s="537" t="s">
        <v>10627</v>
      </c>
      <c r="H113" s="537" t="s">
        <v>10628</v>
      </c>
      <c r="I113" s="537" t="s">
        <v>10629</v>
      </c>
      <c r="J113" s="537" t="s">
        <v>10630</v>
      </c>
      <c r="K113" s="537" t="s">
        <v>10631</v>
      </c>
      <c r="L113" s="537" t="s">
        <v>10632</v>
      </c>
      <c r="M113" s="539" t="s">
        <v>10633</v>
      </c>
    </row>
    <row r="114" spans="1:13" ht="14.4" customHeight="1" x14ac:dyDescent="0.3">
      <c r="A114" s="4" t="str" cm="1">
        <f t="array" ref="A114">_xlfn.IFS(
template_selected_display_language='Footnote (Taxonomy) Labels'!$B$1,'Footnote (Taxonomy) Labels'!$B114,
template_selected_display_language='Footnote (Taxonomy) Labels'!$C$1,'Footnote (Taxonomy) Labels'!$C114,
template_selected_display_language='Footnote (Taxonomy) Labels'!$D$1,'Footnote (Taxonomy) Labels'!$D114,
template_selected_display_language='Footnote (Taxonomy) Labels'!$E$1,'Footnote (Taxonomy) Labels'!$E114,
template_selected_display_language='Footnote (Taxonomy) Labels'!$F$1,'Footnote (Taxonomy) Labels'!$F114,
template_selected_display_language='Footnote (Taxonomy) Labels'!$G$1,'Footnote (Taxonomy) Labels'!$G114,
template_selected_display_language='Footnote (Taxonomy) Labels'!$H$1,'Footnote (Taxonomy) Labels'!$H114,
template_selected_display_language='Footnote (Taxonomy) Labels'!$I$1,'Footnote (Taxonomy) Labels'!$I114,
template_selected_display_language='Footnote (Taxonomy) Labels'!$J$1,'Footnote (Taxonomy) Labels'!$J114,
template_selected_display_language='Footnote (Taxonomy) Labels'!$K$1,'Footnote (Taxonomy) Labels'!$K114,
template_selected_display_language='Footnote (Taxonomy) Labels'!$L$1,'Footnote (Taxonomy) Labels'!$L114,
template_selected_display_language='Footnote (Taxonomy) Labels'!$M$1,'Footnote (Taxonomy) Labels'!$M114
)</f>
        <v>Description des aléas liés au changement climatique et événements liés à la transition climatique</v>
      </c>
      <c r="B114" s="544" t="s">
        <v>6910</v>
      </c>
      <c r="C114" s="537" t="s">
        <v>6911</v>
      </c>
      <c r="D114" s="537" t="s">
        <v>10634</v>
      </c>
      <c r="E114" s="537" t="s">
        <v>10635</v>
      </c>
      <c r="F114" s="537" t="s">
        <v>10636</v>
      </c>
      <c r="G114" s="537" t="s">
        <v>10637</v>
      </c>
      <c r="H114" s="537" t="s">
        <v>6916</v>
      </c>
      <c r="I114" s="537" t="s">
        <v>10638</v>
      </c>
      <c r="J114" s="537" t="s">
        <v>10639</v>
      </c>
      <c r="K114" s="537" t="s">
        <v>10640</v>
      </c>
      <c r="L114" s="537" t="s">
        <v>10641</v>
      </c>
      <c r="M114" s="539" t="s">
        <v>10642</v>
      </c>
    </row>
    <row r="115" spans="1:13" ht="14.4" customHeight="1" x14ac:dyDescent="0.3">
      <c r="A115" s="4" t="str" cm="1">
        <f t="array" ref="A115">_xlfn.IFS(
template_selected_display_language='Footnote (Taxonomy) Labels'!$B$1,'Footnote (Taxonomy) Labels'!$B115,
template_selected_display_language='Footnote (Taxonomy) Labels'!$C$1,'Footnote (Taxonomy) Labels'!$C115,
template_selected_display_language='Footnote (Taxonomy) Labels'!$D$1,'Footnote (Taxonomy) Labels'!$D115,
template_selected_display_language='Footnote (Taxonomy) Labels'!$E$1,'Footnote (Taxonomy) Labels'!$E115,
template_selected_display_language='Footnote (Taxonomy) Labels'!$F$1,'Footnote (Taxonomy) Labels'!$F115,
template_selected_display_language='Footnote (Taxonomy) Labels'!$G$1,'Footnote (Taxonomy) Labels'!$G115,
template_selected_display_language='Footnote (Taxonomy) Labels'!$H$1,'Footnote (Taxonomy) Labels'!$H115,
template_selected_display_language='Footnote (Taxonomy) Labels'!$I$1,'Footnote (Taxonomy) Labels'!$I115,
template_selected_display_language='Footnote (Taxonomy) Labels'!$J$1,'Footnote (Taxonomy) Labels'!$J115,
template_selected_display_language='Footnote (Taxonomy) Labels'!$K$1,'Footnote (Taxonomy) Labels'!$K115,
template_selected_display_language='Footnote (Taxonomy) Labels'!$L$1,'Footnote (Taxonomy) Labels'!$L115,
template_selected_display_language='Footnote (Taxonomy) Labels'!$M$1,'Footnote (Taxonomy) Labels'!$M115
)</f>
        <v>Information sur comment elle a évalué l’exposition et la sensibilité de ses actifs, de ses activités et de sa chaîne de valeur à ces aléas et à ces événements liés à la transition</v>
      </c>
      <c r="B115" s="544" t="s">
        <v>10643</v>
      </c>
      <c r="C115" s="537" t="s">
        <v>6924</v>
      </c>
      <c r="D115" s="537" t="s">
        <v>10644</v>
      </c>
      <c r="E115" s="537" t="s">
        <v>6926</v>
      </c>
      <c r="F115" s="537" t="s">
        <v>10645</v>
      </c>
      <c r="G115" s="537" t="s">
        <v>10646</v>
      </c>
      <c r="H115" s="537" t="s">
        <v>10647</v>
      </c>
      <c r="I115" s="537" t="s">
        <v>10648</v>
      </c>
      <c r="J115" s="537" t="s">
        <v>6931</v>
      </c>
      <c r="K115" s="537" t="s">
        <v>10649</v>
      </c>
      <c r="L115" s="537" t="s">
        <v>10650</v>
      </c>
      <c r="M115" s="539" t="s">
        <v>6932</v>
      </c>
    </row>
    <row r="116" spans="1:13" ht="14.4" customHeight="1" x14ac:dyDescent="0.3">
      <c r="A116" s="4" t="str" cm="1">
        <f t="array" ref="A116">_xlfn.IFS(
template_selected_display_language='Footnote (Taxonomy) Labels'!$B$1,'Footnote (Taxonomy) Labels'!$B116,
template_selected_display_language='Footnote (Taxonomy) Labels'!$C$1,'Footnote (Taxonomy) Labels'!$C116,
template_selected_display_language='Footnote (Taxonomy) Labels'!$D$1,'Footnote (Taxonomy) Labels'!$D116,
template_selected_display_language='Footnote (Taxonomy) Labels'!$E$1,'Footnote (Taxonomy) Labels'!$E116,
template_selected_display_language='Footnote (Taxonomy) Labels'!$F$1,'Footnote (Taxonomy) Labels'!$F116,
template_selected_display_language='Footnote (Taxonomy) Labels'!$G$1,'Footnote (Taxonomy) Labels'!$G116,
template_selected_display_language='Footnote (Taxonomy) Labels'!$H$1,'Footnote (Taxonomy) Labels'!$H116,
template_selected_display_language='Footnote (Taxonomy) Labels'!$I$1,'Footnote (Taxonomy) Labels'!$I116,
template_selected_display_language='Footnote (Taxonomy) Labels'!$J$1,'Footnote (Taxonomy) Labels'!$J116,
template_selected_display_language='Footnote (Taxonomy) Labels'!$K$1,'Footnote (Taxonomy) Labels'!$K116,
template_selected_display_language='Footnote (Taxonomy) Labels'!$L$1,'Footnote (Taxonomy) Labels'!$L116,
template_selected_display_language='Footnote (Taxonomy) Labels'!$M$1,'Footnote (Taxonomy) Labels'!$M116
)</f>
        <v>Horizons temporels des aléas liés au changement climatique et des événements liés à la transition climatique recensés</v>
      </c>
      <c r="B116" s="544" t="s">
        <v>6936</v>
      </c>
      <c r="C116" s="537" t="s">
        <v>10651</v>
      </c>
      <c r="D116" s="537" t="s">
        <v>10652</v>
      </c>
      <c r="E116" s="537" t="s">
        <v>6939</v>
      </c>
      <c r="F116" s="537" t="s">
        <v>6940</v>
      </c>
      <c r="G116" s="537" t="s">
        <v>10653</v>
      </c>
      <c r="H116" s="537" t="s">
        <v>10654</v>
      </c>
      <c r="I116" s="537" t="s">
        <v>10655</v>
      </c>
      <c r="J116" s="537" t="s">
        <v>6944</v>
      </c>
      <c r="K116" s="537" t="s">
        <v>10656</v>
      </c>
      <c r="L116" s="537" t="s">
        <v>10657</v>
      </c>
      <c r="M116" s="539" t="s">
        <v>6945</v>
      </c>
    </row>
    <row r="117" spans="1:13" ht="14.4" customHeight="1" x14ac:dyDescent="0.3">
      <c r="A117" s="4" t="str" cm="1">
        <f t="array" ref="A117">_xlfn.IFS(
template_selected_display_language='Footnote (Taxonomy) Labels'!$B$1,'Footnote (Taxonomy) Labels'!$B117,
template_selected_display_language='Footnote (Taxonomy) Labels'!$C$1,'Footnote (Taxonomy) Labels'!$C117,
template_selected_display_language='Footnote (Taxonomy) Labels'!$D$1,'Footnote (Taxonomy) Labels'!$D117,
template_selected_display_language='Footnote (Taxonomy) Labels'!$E$1,'Footnote (Taxonomy) Labels'!$E117,
template_selected_display_language='Footnote (Taxonomy) Labels'!$F$1,'Footnote (Taxonomy) Labels'!$F117,
template_selected_display_language='Footnote (Taxonomy) Labels'!$G$1,'Footnote (Taxonomy) Labels'!$G117,
template_selected_display_language='Footnote (Taxonomy) Labels'!$H$1,'Footnote (Taxonomy) Labels'!$H117,
template_selected_display_language='Footnote (Taxonomy) Labels'!$I$1,'Footnote (Taxonomy) Labels'!$I117,
template_selected_display_language='Footnote (Taxonomy) Labels'!$J$1,'Footnote (Taxonomy) Labels'!$J117,
template_selected_display_language='Footnote (Taxonomy) Labels'!$K$1,'Footnote (Taxonomy) Labels'!$K117,
template_selected_display_language='Footnote (Taxonomy) Labels'!$L$1,'Footnote (Taxonomy) Labels'!$L117,
template_selected_display_language='Footnote (Taxonomy) Labels'!$M$1,'Footnote (Taxonomy) Labels'!$M117
)</f>
        <v>Indication si elle a entrepris des actions d’adaptation au changement climatique pour les aléas liés au changement climatique et les événements liés à la transition climatique</v>
      </c>
      <c r="B117" s="544" t="s">
        <v>10658</v>
      </c>
      <c r="C117" s="537" t="s">
        <v>10659</v>
      </c>
      <c r="D117" s="537" t="s">
        <v>10660</v>
      </c>
      <c r="E117" s="537" t="s">
        <v>6952</v>
      </c>
      <c r="F117" s="537" t="s">
        <v>6953</v>
      </c>
      <c r="G117" s="537" t="s">
        <v>10661</v>
      </c>
      <c r="H117" s="537" t="s">
        <v>6955</v>
      </c>
      <c r="I117" s="537" t="s">
        <v>10662</v>
      </c>
      <c r="J117" s="537" t="s">
        <v>6957</v>
      </c>
      <c r="K117" s="537" t="s">
        <v>10663</v>
      </c>
      <c r="L117" s="537" t="s">
        <v>10664</v>
      </c>
      <c r="M117" s="539" t="s">
        <v>10665</v>
      </c>
    </row>
    <row r="118" spans="1:13" ht="14.4" customHeight="1" x14ac:dyDescent="0.3">
      <c r="A118" s="4" t="str" cm="1">
        <f t="array" ref="A118">_xlfn.IFS(
template_selected_display_language='Footnote (Taxonomy) Labels'!$B$1,'Footnote (Taxonomy) Labels'!$B118,
template_selected_display_language='Footnote (Taxonomy) Labels'!$C$1,'Footnote (Taxonomy) Labels'!$C118,
template_selected_display_language='Footnote (Taxonomy) Labels'!$D$1,'Footnote (Taxonomy) Labels'!$D118,
template_selected_display_language='Footnote (Taxonomy) Labels'!$E$1,'Footnote (Taxonomy) Labels'!$E118,
template_selected_display_language='Footnote (Taxonomy) Labels'!$F$1,'Footnote (Taxonomy) Labels'!$F118,
template_selected_display_language='Footnote (Taxonomy) Labels'!$G$1,'Footnote (Taxonomy) Labels'!$G118,
template_selected_display_language='Footnote (Taxonomy) Labels'!$H$1,'Footnote (Taxonomy) Labels'!$H118,
template_selected_display_language='Footnote (Taxonomy) Labels'!$I$1,'Footnote (Taxonomy) Labels'!$I118,
template_selected_display_language='Footnote (Taxonomy) Labels'!$J$1,'Footnote (Taxonomy) Labels'!$J118,
template_selected_display_language='Footnote (Taxonomy) Labels'!$K$1,'Footnote (Taxonomy) Labels'!$K118,
template_selected_display_language='Footnote (Taxonomy) Labels'!$L$1,'Footnote (Taxonomy) Labels'!$L118,
template_selected_display_language='Footnote (Taxonomy) Labels'!$M$1,'Footnote (Taxonomy) Labels'!$M118
)</f>
        <v>Effets potentiels négatifs des risques climatiques susceptibles d’affecter ses performances financières ou ses activités à court, moyen ou long terme, en indiquant si elle estime que les risques sont élevés, moyens ou faibles</v>
      </c>
      <c r="B118" s="544" t="s">
        <v>10666</v>
      </c>
      <c r="C118" s="537" t="s">
        <v>10667</v>
      </c>
      <c r="D118" s="537" t="s">
        <v>10668</v>
      </c>
      <c r="E118" s="537" t="s">
        <v>6965</v>
      </c>
      <c r="F118" s="537" t="s">
        <v>10669</v>
      </c>
      <c r="G118" s="537" t="s">
        <v>10670</v>
      </c>
      <c r="H118" s="537" t="s">
        <v>6968</v>
      </c>
      <c r="I118" s="537" t="s">
        <v>10671</v>
      </c>
      <c r="J118" s="537" t="s">
        <v>6970</v>
      </c>
      <c r="K118" s="537" t="s">
        <v>10672</v>
      </c>
      <c r="L118" s="537" t="s">
        <v>10673</v>
      </c>
      <c r="M118" s="539" t="s">
        <v>10674</v>
      </c>
    </row>
    <row r="119" spans="1:13" ht="14.4" customHeight="1" x14ac:dyDescent="0.3">
      <c r="A119" s="4" t="str" cm="1">
        <f t="array" ref="A119">_xlfn.IFS(
template_selected_display_language='Footnote (Taxonomy) Labels'!$B$1,'Footnote (Taxonomy) Labels'!$B119,
template_selected_display_language='Footnote (Taxonomy) Labels'!$C$1,'Footnote (Taxonomy) Labels'!$C119,
template_selected_display_language='Footnote (Taxonomy) Labels'!$D$1,'Footnote (Taxonomy) Labels'!$D119,
template_selected_display_language='Footnote (Taxonomy) Labels'!$E$1,'Footnote (Taxonomy) Labels'!$E119,
template_selected_display_language='Footnote (Taxonomy) Labels'!$F$1,'Footnote (Taxonomy) Labels'!$F119,
template_selected_display_language='Footnote (Taxonomy) Labels'!$G$1,'Footnote (Taxonomy) Labels'!$G119,
template_selected_display_language='Footnote (Taxonomy) Labels'!$H$1,'Footnote (Taxonomy) Labels'!$H119,
template_selected_display_language='Footnote (Taxonomy) Labels'!$I$1,'Footnote (Taxonomy) Labels'!$I119,
template_selected_display_language='Footnote (Taxonomy) Labels'!$J$1,'Footnote (Taxonomy) Labels'!$J119,
template_selected_display_language='Footnote (Taxonomy) Labels'!$K$1,'Footnote (Taxonomy) Labels'!$K119,
template_selected_display_language='Footnote (Taxonomy) Labels'!$L$1,'Footnote (Taxonomy) Labels'!$L119,
template_selected_display_language='Footnote (Taxonomy) Labels'!$M$1,'Footnote (Taxonomy) Labels'!$M119
)</f>
        <v>Ratio de femmes par rapport aux hommes au niveau de l’encadrement pour la période de reporting</v>
      </c>
      <c r="B119" s="544" t="s">
        <v>7478</v>
      </c>
      <c r="C119" s="537" t="s">
        <v>7479</v>
      </c>
      <c r="D119" s="537" t="s">
        <v>10675</v>
      </c>
      <c r="E119" s="537" t="s">
        <v>10676</v>
      </c>
      <c r="F119" s="537" t="s">
        <v>7482</v>
      </c>
      <c r="G119" s="537" t="s">
        <v>10677</v>
      </c>
      <c r="H119" s="537" t="s">
        <v>7484</v>
      </c>
      <c r="I119" s="537" t="s">
        <v>10678</v>
      </c>
      <c r="J119" s="537" t="s">
        <v>7486</v>
      </c>
      <c r="K119" s="537" t="s">
        <v>10679</v>
      </c>
      <c r="L119" s="537" t="s">
        <v>10680</v>
      </c>
      <c r="M119" s="539" t="s">
        <v>10681</v>
      </c>
    </row>
    <row r="120" spans="1:13" ht="14.4" customHeight="1" x14ac:dyDescent="0.3">
      <c r="A120" s="4" t="str" cm="1">
        <f t="array" ref="A120">_xlfn.IFS(
template_selected_display_language='Footnote (Taxonomy) Labels'!$B$1,'Footnote (Taxonomy) Labels'!$B120,
template_selected_display_language='Footnote (Taxonomy) Labels'!$C$1,'Footnote (Taxonomy) Labels'!$C120,
template_selected_display_language='Footnote (Taxonomy) Labels'!$D$1,'Footnote (Taxonomy) Labels'!$D120,
template_selected_display_language='Footnote (Taxonomy) Labels'!$E$1,'Footnote (Taxonomy) Labels'!$E120,
template_selected_display_language='Footnote (Taxonomy) Labels'!$F$1,'Footnote (Taxonomy) Labels'!$F120,
template_selected_display_language='Footnote (Taxonomy) Labels'!$G$1,'Footnote (Taxonomy) Labels'!$G120,
template_selected_display_language='Footnote (Taxonomy) Labels'!$H$1,'Footnote (Taxonomy) Labels'!$H120,
template_selected_display_language='Footnote (Taxonomy) Labels'!$I$1,'Footnote (Taxonomy) Labels'!$I120,
template_selected_display_language='Footnote (Taxonomy) Labels'!$J$1,'Footnote (Taxonomy) Labels'!$J120,
template_selected_display_language='Footnote (Taxonomy) Labels'!$K$1,'Footnote (Taxonomy) Labels'!$K120,
template_selected_display_language='Footnote (Taxonomy) Labels'!$L$1,'Footnote (Taxonomy) Labels'!$L120,
template_selected_display_language='Footnote (Taxonomy) Labels'!$M$1,'Footnote (Taxonomy) Labels'!$M120
)</f>
        <v>Nombre total des travailleurs indépendants sans personnel qui travaillent exclusivement pour l’entreprise</v>
      </c>
      <c r="B120" s="544" t="s">
        <v>10682</v>
      </c>
      <c r="C120" s="537" t="s">
        <v>10683</v>
      </c>
      <c r="D120" s="537" t="s">
        <v>10684</v>
      </c>
      <c r="E120" s="537" t="s">
        <v>10685</v>
      </c>
      <c r="F120" s="537" t="s">
        <v>10686</v>
      </c>
      <c r="G120" s="537" t="s">
        <v>10687</v>
      </c>
      <c r="H120" s="537" t="s">
        <v>7497</v>
      </c>
      <c r="I120" s="537" t="s">
        <v>7498</v>
      </c>
      <c r="J120" s="537" t="s">
        <v>7499</v>
      </c>
      <c r="K120" s="537" t="s">
        <v>10688</v>
      </c>
      <c r="L120" s="537" t="s">
        <v>10689</v>
      </c>
      <c r="M120" s="539" t="s">
        <v>10690</v>
      </c>
    </row>
    <row r="121" spans="1:13" ht="14.4" customHeight="1" x14ac:dyDescent="0.3">
      <c r="A121" s="4" t="str" cm="1">
        <f t="array" ref="A121">_xlfn.IFS(
template_selected_display_language='Footnote (Taxonomy) Labels'!$B$1,'Footnote (Taxonomy) Labels'!$B121,
template_selected_display_language='Footnote (Taxonomy) Labels'!$C$1,'Footnote (Taxonomy) Labels'!$C121,
template_selected_display_language='Footnote (Taxonomy) Labels'!$D$1,'Footnote (Taxonomy) Labels'!$D121,
template_selected_display_language='Footnote (Taxonomy) Labels'!$E$1,'Footnote (Taxonomy) Labels'!$E121,
template_selected_display_language='Footnote (Taxonomy) Labels'!$F$1,'Footnote (Taxonomy) Labels'!$F121,
template_selected_display_language='Footnote (Taxonomy) Labels'!$G$1,'Footnote (Taxonomy) Labels'!$G121,
template_selected_display_language='Footnote (Taxonomy) Labels'!$H$1,'Footnote (Taxonomy) Labels'!$H121,
template_selected_display_language='Footnote (Taxonomy) Labels'!$I$1,'Footnote (Taxonomy) Labels'!$I121,
template_selected_display_language='Footnote (Taxonomy) Labels'!$J$1,'Footnote (Taxonomy) Labels'!$J121,
template_selected_display_language='Footnote (Taxonomy) Labels'!$K$1,'Footnote (Taxonomy) Labels'!$K121,
template_selected_display_language='Footnote (Taxonomy) Labels'!$L$1,'Footnote (Taxonomy) Labels'!$L121,
template_selected_display_language='Footnote (Taxonomy) Labels'!$M$1,'Footnote (Taxonomy) Labels'!$M121
)</f>
        <v>Nombre total de travailleurs temporaires mis à disposition par des entreprises exerçant principalement des activités liées à l’emploi</v>
      </c>
      <c r="B121" s="544" t="s">
        <v>10691</v>
      </c>
      <c r="C121" s="537" t="s">
        <v>7505</v>
      </c>
      <c r="D121" s="537" t="s">
        <v>10692</v>
      </c>
      <c r="E121" s="537" t="s">
        <v>10693</v>
      </c>
      <c r="F121" s="537" t="s">
        <v>10694</v>
      </c>
      <c r="G121" s="537" t="s">
        <v>10695</v>
      </c>
      <c r="H121" s="537" t="s">
        <v>7510</v>
      </c>
      <c r="I121" s="537" t="s">
        <v>7511</v>
      </c>
      <c r="J121" s="537" t="s">
        <v>7512</v>
      </c>
      <c r="K121" s="537" t="s">
        <v>7515</v>
      </c>
      <c r="L121" s="537" t="s">
        <v>10696</v>
      </c>
      <c r="M121" s="539" t="s">
        <v>10697</v>
      </c>
    </row>
    <row r="122" spans="1:13" ht="14.4" customHeight="1" x14ac:dyDescent="0.3">
      <c r="A122" s="4" t="str" cm="1">
        <f t="array" ref="A122">_xlfn.IFS(
template_selected_display_language='Footnote (Taxonomy) Labels'!$B$1,'Footnote (Taxonomy) Labels'!$B122,
template_selected_display_language='Footnote (Taxonomy) Labels'!$C$1,'Footnote (Taxonomy) Labels'!$C122,
template_selected_display_language='Footnote (Taxonomy) Labels'!$D$1,'Footnote (Taxonomy) Labels'!$D122,
template_selected_display_language='Footnote (Taxonomy) Labels'!$E$1,'Footnote (Taxonomy) Labels'!$E122,
template_selected_display_language='Footnote (Taxonomy) Labels'!$F$1,'Footnote (Taxonomy) Labels'!$F122,
template_selected_display_language='Footnote (Taxonomy) Labels'!$G$1,'Footnote (Taxonomy) Labels'!$G122,
template_selected_display_language='Footnote (Taxonomy) Labels'!$H$1,'Footnote (Taxonomy) Labels'!$H122,
template_selected_display_language='Footnote (Taxonomy) Labels'!$I$1,'Footnote (Taxonomy) Labels'!$I122,
template_selected_display_language='Footnote (Taxonomy) Labels'!$J$1,'Footnote (Taxonomy) Labels'!$J122,
template_selected_display_language='Footnote (Taxonomy) Labels'!$K$1,'Footnote (Taxonomy) Labels'!$K122,
template_selected_display_language='Footnote (Taxonomy) Labels'!$L$1,'Footnote (Taxonomy) Labels'!$L122,
template_selected_display_language='Footnote (Taxonomy) Labels'!$M$1,'Footnote (Taxonomy) Labels'!$M122
)</f>
        <v>L’entreprise dispose d’un code de conduite ou d’une politique en matière de droits de l’homme pour son personnel</v>
      </c>
      <c r="B122" s="544" t="s">
        <v>10698</v>
      </c>
      <c r="C122" s="537" t="s">
        <v>10699</v>
      </c>
      <c r="D122" s="537" t="s">
        <v>10700</v>
      </c>
      <c r="E122" s="537" t="s">
        <v>10701</v>
      </c>
      <c r="F122" s="537" t="s">
        <v>10702</v>
      </c>
      <c r="G122" s="537" t="s">
        <v>10703</v>
      </c>
      <c r="H122" s="537" t="s">
        <v>7533</v>
      </c>
      <c r="I122" s="537" t="s">
        <v>10704</v>
      </c>
      <c r="J122" s="537" t="s">
        <v>10705</v>
      </c>
      <c r="K122" s="537" t="s">
        <v>7538</v>
      </c>
      <c r="L122" s="537" t="s">
        <v>10706</v>
      </c>
      <c r="M122" s="539" t="s">
        <v>10707</v>
      </c>
    </row>
    <row r="123" spans="1:13" ht="14.4" customHeight="1" x14ac:dyDescent="0.3">
      <c r="A123" s="4" t="str" cm="1">
        <f t="array" ref="A123">_xlfn.IFS(
template_selected_display_language='Footnote (Taxonomy) Labels'!$B$1,'Footnote (Taxonomy) Labels'!$B123,
template_selected_display_language='Footnote (Taxonomy) Labels'!$C$1,'Footnote (Taxonomy) Labels'!$C123,
template_selected_display_language='Footnote (Taxonomy) Labels'!$D$1,'Footnote (Taxonomy) Labels'!$D123,
template_selected_display_language='Footnote (Taxonomy) Labels'!$E$1,'Footnote (Taxonomy) Labels'!$E123,
template_selected_display_language='Footnote (Taxonomy) Labels'!$F$1,'Footnote (Taxonomy) Labels'!$F123,
template_selected_display_language='Footnote (Taxonomy) Labels'!$G$1,'Footnote (Taxonomy) Labels'!$G123,
template_selected_display_language='Footnote (Taxonomy) Labels'!$H$1,'Footnote (Taxonomy) Labels'!$H123,
template_selected_display_language='Footnote (Taxonomy) Labels'!$I$1,'Footnote (Taxonomy) Labels'!$I123,
template_selected_display_language='Footnote (Taxonomy) Labels'!$J$1,'Footnote (Taxonomy) Labels'!$J123,
template_selected_display_language='Footnote (Taxonomy) Labels'!$K$1,'Footnote (Taxonomy) Labels'!$K123,
template_selected_display_language='Footnote (Taxonomy) Labels'!$L$1,'Footnote (Taxonomy) Labels'!$L123,
template_selected_display_language='Footnote (Taxonomy) Labels'!$M$1,'Footnote (Taxonomy) Labels'!$M123
)</f>
        <v>Type de contenu couvert par le code de conduite ou la politique en matière de droits de l’homme pour son personnel</v>
      </c>
      <c r="B123" s="544" t="s">
        <v>10708</v>
      </c>
      <c r="C123" s="537" t="s">
        <v>10709</v>
      </c>
      <c r="D123" s="537" t="s">
        <v>10710</v>
      </c>
      <c r="E123" s="537" t="s">
        <v>10711</v>
      </c>
      <c r="F123" s="537" t="s">
        <v>10712</v>
      </c>
      <c r="G123" s="537" t="s">
        <v>10713</v>
      </c>
      <c r="H123" s="537" t="s">
        <v>10714</v>
      </c>
      <c r="I123" s="537" t="s">
        <v>10715</v>
      </c>
      <c r="J123" s="537" t="s">
        <v>10716</v>
      </c>
      <c r="K123" s="537" t="s">
        <v>10717</v>
      </c>
      <c r="L123" s="537" t="s">
        <v>10718</v>
      </c>
      <c r="M123" s="539" t="s">
        <v>10719</v>
      </c>
    </row>
    <row r="124" spans="1:13" ht="14.4" customHeight="1" x14ac:dyDescent="0.3">
      <c r="A124" s="4" t="str" cm="1">
        <f t="array" ref="A124">_xlfn.IFS(
template_selected_display_language='Footnote (Taxonomy) Labels'!$B$1,'Footnote (Taxonomy) Labels'!$B124,
template_selected_display_language='Footnote (Taxonomy) Labels'!$C$1,'Footnote (Taxonomy) Labels'!$C124,
template_selected_display_language='Footnote (Taxonomy) Labels'!$D$1,'Footnote (Taxonomy) Labels'!$D124,
template_selected_display_language='Footnote (Taxonomy) Labels'!$E$1,'Footnote (Taxonomy) Labels'!$E124,
template_selected_display_language='Footnote (Taxonomy) Labels'!$F$1,'Footnote (Taxonomy) Labels'!$F124,
template_selected_display_language='Footnote (Taxonomy) Labels'!$G$1,'Footnote (Taxonomy) Labels'!$G124,
template_selected_display_language='Footnote (Taxonomy) Labels'!$H$1,'Footnote (Taxonomy) Labels'!$H124,
template_selected_display_language='Footnote (Taxonomy) Labels'!$I$1,'Footnote (Taxonomy) Labels'!$I124,
template_selected_display_language='Footnote (Taxonomy) Labels'!$J$1,'Footnote (Taxonomy) Labels'!$J124,
template_selected_display_language='Footnote (Taxonomy) Labels'!$K$1,'Footnote (Taxonomy) Labels'!$K124,
template_selected_display_language='Footnote (Taxonomy) Labels'!$L$1,'Footnote (Taxonomy) Labels'!$L124,
template_selected_display_language='Footnote (Taxonomy) Labels'!$M$1,'Footnote (Taxonomy) Labels'!$M124
)</f>
        <v>Spécification des autres types de contenu couverts par le code de conduite ou la politique en matière de droits de l’homme</v>
      </c>
      <c r="B124" s="544" t="s">
        <v>10720</v>
      </c>
      <c r="C124" s="537" t="s">
        <v>10721</v>
      </c>
      <c r="D124" s="537" t="s">
        <v>10722</v>
      </c>
      <c r="E124" s="537" t="s">
        <v>10723</v>
      </c>
      <c r="F124" s="537" t="s">
        <v>10724</v>
      </c>
      <c r="G124" s="537" t="s">
        <v>10725</v>
      </c>
      <c r="H124" s="537" t="s">
        <v>10726</v>
      </c>
      <c r="I124" s="537" t="s">
        <v>10727</v>
      </c>
      <c r="J124" s="537" t="s">
        <v>10728</v>
      </c>
      <c r="K124" s="537" t="s">
        <v>10729</v>
      </c>
      <c r="L124" s="537" t="s">
        <v>10730</v>
      </c>
      <c r="M124" s="539" t="s">
        <v>10731</v>
      </c>
    </row>
    <row r="125" spans="1:13" ht="14.4" customHeight="1" x14ac:dyDescent="0.3">
      <c r="A125" s="4" t="str" cm="1">
        <f t="array" ref="A125">_xlfn.IFS(
template_selected_display_language='Footnote (Taxonomy) Labels'!$B$1,'Footnote (Taxonomy) Labels'!$B125,
template_selected_display_language='Footnote (Taxonomy) Labels'!$C$1,'Footnote (Taxonomy) Labels'!$C125,
template_selected_display_language='Footnote (Taxonomy) Labels'!$D$1,'Footnote (Taxonomy) Labels'!$D125,
template_selected_display_language='Footnote (Taxonomy) Labels'!$E$1,'Footnote (Taxonomy) Labels'!$E125,
template_selected_display_language='Footnote (Taxonomy) Labels'!$F$1,'Footnote (Taxonomy) Labels'!$F125,
template_selected_display_language='Footnote (Taxonomy) Labels'!$G$1,'Footnote (Taxonomy) Labels'!$G125,
template_selected_display_language='Footnote (Taxonomy) Labels'!$H$1,'Footnote (Taxonomy) Labels'!$H125,
template_selected_display_language='Footnote (Taxonomy) Labels'!$I$1,'Footnote (Taxonomy) Labels'!$I125,
template_selected_display_language='Footnote (Taxonomy) Labels'!$J$1,'Footnote (Taxonomy) Labels'!$J125,
template_selected_display_language='Footnote (Taxonomy) Labels'!$K$1,'Footnote (Taxonomy) Labels'!$K125,
template_selected_display_language='Footnote (Taxonomy) Labels'!$L$1,'Footnote (Taxonomy) Labels'!$L125,
template_selected_display_language='Footnote (Taxonomy) Labels'!$M$1,'Footnote (Taxonomy) Labels'!$M125
)</f>
        <v xml:space="preserve">L’entreprise dispose d’un mécanisme de traitement des plaintes pour son personnel </v>
      </c>
      <c r="B125" s="544" t="s">
        <v>10732</v>
      </c>
      <c r="C125" s="537" t="s">
        <v>10733</v>
      </c>
      <c r="D125" s="537" t="s">
        <v>10734</v>
      </c>
      <c r="E125" s="537" t="s">
        <v>10735</v>
      </c>
      <c r="F125" s="537" t="s">
        <v>10736</v>
      </c>
      <c r="G125" s="537" t="s">
        <v>10737</v>
      </c>
      <c r="H125" s="537" t="s">
        <v>7647</v>
      </c>
      <c r="I125" s="537" t="s">
        <v>10738</v>
      </c>
      <c r="J125" s="537" t="s">
        <v>10739</v>
      </c>
      <c r="K125" s="537" t="s">
        <v>7652</v>
      </c>
      <c r="L125" s="537" t="s">
        <v>10740</v>
      </c>
      <c r="M125" s="539" t="s">
        <v>10741</v>
      </c>
    </row>
    <row r="126" spans="1:13" ht="14.4" customHeight="1" x14ac:dyDescent="0.3">
      <c r="A126" s="4" t="str" cm="1">
        <f t="array" ref="A126">_xlfn.IFS(
template_selected_display_language='Footnote (Taxonomy) Labels'!$B$1,'Footnote (Taxonomy) Labels'!$B126,
template_selected_display_language='Footnote (Taxonomy) Labels'!$C$1,'Footnote (Taxonomy) Labels'!$C126,
template_selected_display_language='Footnote (Taxonomy) Labels'!$D$1,'Footnote (Taxonomy) Labels'!$D126,
template_selected_display_language='Footnote (Taxonomy) Labels'!$E$1,'Footnote (Taxonomy) Labels'!$E126,
template_selected_display_language='Footnote (Taxonomy) Labels'!$F$1,'Footnote (Taxonomy) Labels'!$F126,
template_selected_display_language='Footnote (Taxonomy) Labels'!$G$1,'Footnote (Taxonomy) Labels'!$G126,
template_selected_display_language='Footnote (Taxonomy) Labels'!$H$1,'Footnote (Taxonomy) Labels'!$H126,
template_selected_display_language='Footnote (Taxonomy) Labels'!$I$1,'Footnote (Taxonomy) Labels'!$I126,
template_selected_display_language='Footnote (Taxonomy) Labels'!$J$1,'Footnote (Taxonomy) Labels'!$J126,
template_selected_display_language='Footnote (Taxonomy) Labels'!$K$1,'Footnote (Taxonomy) Labels'!$K126,
template_selected_display_language='Footnote (Taxonomy) Labels'!$L$1,'Footnote (Taxonomy) Labels'!$L126,
template_selected_display_language='Footnote (Taxonomy) Labels'!$M$1,'Footnote (Taxonomy) Labels'!$M126
)</f>
        <v>L’entreprise a confirmé des incidents en matière de droits de l’homme au sein de son personnel</v>
      </c>
      <c r="B126" s="544" t="s">
        <v>10742</v>
      </c>
      <c r="C126" s="537" t="s">
        <v>10743</v>
      </c>
      <c r="D126" s="537" t="s">
        <v>10744</v>
      </c>
      <c r="E126" s="537" t="s">
        <v>10745</v>
      </c>
      <c r="F126" s="537" t="s">
        <v>10746</v>
      </c>
      <c r="G126" s="537" t="s">
        <v>10747</v>
      </c>
      <c r="H126" s="537" t="s">
        <v>10748</v>
      </c>
      <c r="I126" s="537" t="s">
        <v>10749</v>
      </c>
      <c r="J126" s="537" t="s">
        <v>10750</v>
      </c>
      <c r="K126" s="537" t="s">
        <v>10751</v>
      </c>
      <c r="L126" s="537" t="s">
        <v>10752</v>
      </c>
      <c r="M126" s="539" t="s">
        <v>10753</v>
      </c>
    </row>
    <row r="127" spans="1:13" ht="14.4" customHeight="1" x14ac:dyDescent="0.3">
      <c r="A127" s="4" t="str" cm="1">
        <f t="array" ref="A127">_xlfn.IFS(
template_selected_display_language='Footnote (Taxonomy) Labels'!$B$1,'Footnote (Taxonomy) Labels'!$B127,
template_selected_display_language='Footnote (Taxonomy) Labels'!$C$1,'Footnote (Taxonomy) Labels'!$C127,
template_selected_display_language='Footnote (Taxonomy) Labels'!$D$1,'Footnote (Taxonomy) Labels'!$D127,
template_selected_display_language='Footnote (Taxonomy) Labels'!$E$1,'Footnote (Taxonomy) Labels'!$E127,
template_selected_display_language='Footnote (Taxonomy) Labels'!$F$1,'Footnote (Taxonomy) Labels'!$F127,
template_selected_display_language='Footnote (Taxonomy) Labels'!$G$1,'Footnote (Taxonomy) Labels'!$G127,
template_selected_display_language='Footnote (Taxonomy) Labels'!$H$1,'Footnote (Taxonomy) Labels'!$H127,
template_selected_display_language='Footnote (Taxonomy) Labels'!$I$1,'Footnote (Taxonomy) Labels'!$I127,
template_selected_display_language='Footnote (Taxonomy) Labels'!$J$1,'Footnote (Taxonomy) Labels'!$J127,
template_selected_display_language='Footnote (Taxonomy) Labels'!$K$1,'Footnote (Taxonomy) Labels'!$K127,
template_selected_display_language='Footnote (Taxonomy) Labels'!$L$1,'Footnote (Taxonomy) Labels'!$L127,
template_selected_display_language='Footnote (Taxonomy) Labels'!$M$1,'Footnote (Taxonomy) Labels'!$M127
)</f>
        <v>Type de droit de l'homme auquel se rattache l'incident confirmé</v>
      </c>
      <c r="B127" s="544" t="s">
        <v>10754</v>
      </c>
      <c r="C127" s="537" t="s">
        <v>10755</v>
      </c>
      <c r="D127" s="537" t="s">
        <v>10756</v>
      </c>
      <c r="E127" s="537" t="s">
        <v>10757</v>
      </c>
      <c r="F127" s="537" t="s">
        <v>10758</v>
      </c>
      <c r="G127" s="537" t="s">
        <v>10759</v>
      </c>
      <c r="H127" s="537" t="s">
        <v>10760</v>
      </c>
      <c r="I127" s="537" t="s">
        <v>10761</v>
      </c>
      <c r="J127" s="537" t="s">
        <v>10762</v>
      </c>
      <c r="K127" s="537" t="s">
        <v>10763</v>
      </c>
      <c r="L127" s="537" t="s">
        <v>10764</v>
      </c>
      <c r="M127" s="539" t="s">
        <v>10765</v>
      </c>
    </row>
    <row r="128" spans="1:13" ht="14.4" customHeight="1" x14ac:dyDescent="0.3">
      <c r="A128" s="4" t="str" cm="1">
        <f t="array" ref="A128">_xlfn.IFS(
template_selected_display_language='Footnote (Taxonomy) Labels'!$B$1,'Footnote (Taxonomy) Labels'!$B128,
template_selected_display_language='Footnote (Taxonomy) Labels'!$C$1,'Footnote (Taxonomy) Labels'!$C128,
template_selected_display_language='Footnote (Taxonomy) Labels'!$D$1,'Footnote (Taxonomy) Labels'!$D128,
template_selected_display_language='Footnote (Taxonomy) Labels'!$E$1,'Footnote (Taxonomy) Labels'!$E128,
template_selected_display_language='Footnote (Taxonomy) Labels'!$F$1,'Footnote (Taxonomy) Labels'!$F128,
template_selected_display_language='Footnote (Taxonomy) Labels'!$G$1,'Footnote (Taxonomy) Labels'!$G128,
template_selected_display_language='Footnote (Taxonomy) Labels'!$H$1,'Footnote (Taxonomy) Labels'!$H128,
template_selected_display_language='Footnote (Taxonomy) Labels'!$I$1,'Footnote (Taxonomy) Labels'!$I128,
template_selected_display_language='Footnote (Taxonomy) Labels'!$J$1,'Footnote (Taxonomy) Labels'!$J128,
template_selected_display_language='Footnote (Taxonomy) Labels'!$K$1,'Footnote (Taxonomy) Labels'!$K128,
template_selected_display_language='Footnote (Taxonomy) Labels'!$L$1,'Footnote (Taxonomy) Labels'!$L128,
template_selected_display_language='Footnote (Taxonomy) Labels'!$M$1,'Footnote (Taxonomy) Labels'!$M128
)</f>
        <v>Spécification des autres droits humains auxquels se rattache l'incident confirmé</v>
      </c>
      <c r="B128" s="544" t="s">
        <v>10766</v>
      </c>
      <c r="C128" s="537" t="s">
        <v>10767</v>
      </c>
      <c r="D128" s="537" t="s">
        <v>10768</v>
      </c>
      <c r="E128" s="537" t="s">
        <v>10769</v>
      </c>
      <c r="F128" s="537" t="s">
        <v>10770</v>
      </c>
      <c r="G128" s="537" t="s">
        <v>10771</v>
      </c>
      <c r="H128" s="537" t="s">
        <v>10772</v>
      </c>
      <c r="I128" s="537" t="s">
        <v>10773</v>
      </c>
      <c r="J128" s="537" t="s">
        <v>10774</v>
      </c>
      <c r="K128" s="537" t="s">
        <v>10775</v>
      </c>
      <c r="L128" s="537" t="s">
        <v>10776</v>
      </c>
      <c r="M128" s="539" t="s">
        <v>10777</v>
      </c>
    </row>
    <row r="129" spans="1:13" ht="14.4" customHeight="1" x14ac:dyDescent="0.3">
      <c r="A129" s="4" t="str" cm="1">
        <f t="array" ref="A129">_xlfn.IFS(
template_selected_display_language='Footnote (Taxonomy) Labels'!$B$1,'Footnote (Taxonomy) Labels'!$B129,
template_selected_display_language='Footnote (Taxonomy) Labels'!$C$1,'Footnote (Taxonomy) Labels'!$C129,
template_selected_display_language='Footnote (Taxonomy) Labels'!$D$1,'Footnote (Taxonomy) Labels'!$D129,
template_selected_display_language='Footnote (Taxonomy) Labels'!$E$1,'Footnote (Taxonomy) Labels'!$E129,
template_selected_display_language='Footnote (Taxonomy) Labels'!$F$1,'Footnote (Taxonomy) Labels'!$F129,
template_selected_display_language='Footnote (Taxonomy) Labels'!$G$1,'Footnote (Taxonomy) Labels'!$G129,
template_selected_display_language='Footnote (Taxonomy) Labels'!$H$1,'Footnote (Taxonomy) Labels'!$H129,
template_selected_display_language='Footnote (Taxonomy) Labels'!$I$1,'Footnote (Taxonomy) Labels'!$I129,
template_selected_display_language='Footnote (Taxonomy) Labels'!$J$1,'Footnote (Taxonomy) Labels'!$J129,
template_selected_display_language='Footnote (Taxonomy) Labels'!$K$1,'Footnote (Taxonomy) Labels'!$K129,
template_selected_display_language='Footnote (Taxonomy) Labels'!$L$1,'Footnote (Taxonomy) Labels'!$L129,
template_selected_display_language='Footnote (Taxonomy) Labels'!$M$1,'Footnote (Taxonomy) Labels'!$M129
)</f>
        <v>Description des actions mises en œuvre pour gérer les incidents confirmés</v>
      </c>
      <c r="B129" s="544" t="s">
        <v>10778</v>
      </c>
      <c r="C129" s="537" t="s">
        <v>10779</v>
      </c>
      <c r="D129" s="537" t="s">
        <v>10780</v>
      </c>
      <c r="E129" s="537" t="s">
        <v>7705</v>
      </c>
      <c r="F129" s="537" t="s">
        <v>7706</v>
      </c>
      <c r="G129" s="537" t="s">
        <v>10781</v>
      </c>
      <c r="H129" s="537" t="s">
        <v>7708</v>
      </c>
      <c r="I129" s="537" t="s">
        <v>10782</v>
      </c>
      <c r="J129" s="537" t="s">
        <v>10783</v>
      </c>
      <c r="K129" s="537" t="s">
        <v>10784</v>
      </c>
      <c r="L129" s="537" t="s">
        <v>7712</v>
      </c>
      <c r="M129" s="539" t="s">
        <v>7711</v>
      </c>
    </row>
    <row r="130" spans="1:13" ht="14.4" customHeight="1" x14ac:dyDescent="0.3">
      <c r="A130" s="4" t="str" cm="1">
        <f t="array" ref="A130">_xlfn.IFS(
template_selected_display_language='Footnote (Taxonomy) Labels'!$B$1,'Footnote (Taxonomy) Labels'!$B130,
template_selected_display_language='Footnote (Taxonomy) Labels'!$C$1,'Footnote (Taxonomy) Labels'!$C130,
template_selected_display_language='Footnote (Taxonomy) Labels'!$D$1,'Footnote (Taxonomy) Labels'!$D130,
template_selected_display_language='Footnote (Taxonomy) Labels'!$E$1,'Footnote (Taxonomy) Labels'!$E130,
template_selected_display_language='Footnote (Taxonomy) Labels'!$F$1,'Footnote (Taxonomy) Labels'!$F130,
template_selected_display_language='Footnote (Taxonomy) Labels'!$G$1,'Footnote (Taxonomy) Labels'!$G130,
template_selected_display_language='Footnote (Taxonomy) Labels'!$H$1,'Footnote (Taxonomy) Labels'!$H130,
template_selected_display_language='Footnote (Taxonomy) Labels'!$I$1,'Footnote (Taxonomy) Labels'!$I130,
template_selected_display_language='Footnote (Taxonomy) Labels'!$J$1,'Footnote (Taxonomy) Labels'!$J130,
template_selected_display_language='Footnote (Taxonomy) Labels'!$K$1,'Footnote (Taxonomy) Labels'!$K130,
template_selected_display_language='Footnote (Taxonomy) Labels'!$L$1,'Footnote (Taxonomy) Labels'!$L130,
template_selected_display_language='Footnote (Taxonomy) Labels'!$M$1,'Footnote (Taxonomy) Labels'!$M130
)</f>
        <v>L’entreprise a connaissance d’incidents confirmés impliquant des travailleurs de la chaîne de valeur, des communautés affectées, des consommateurs et des utilisateurs finaux</v>
      </c>
      <c r="B130" s="544" t="s">
        <v>10785</v>
      </c>
      <c r="C130" s="537" t="s">
        <v>10786</v>
      </c>
      <c r="D130" s="537" t="s">
        <v>10787</v>
      </c>
      <c r="E130" s="537" t="s">
        <v>10788</v>
      </c>
      <c r="F130" s="537" t="s">
        <v>10789</v>
      </c>
      <c r="G130" s="537" t="s">
        <v>10790</v>
      </c>
      <c r="H130" s="537" t="s">
        <v>10791</v>
      </c>
      <c r="I130" s="537" t="s">
        <v>10792</v>
      </c>
      <c r="J130" s="537" t="s">
        <v>10793</v>
      </c>
      <c r="K130" s="537" t="s">
        <v>10794</v>
      </c>
      <c r="L130" s="537" t="s">
        <v>10795</v>
      </c>
      <c r="M130" s="539" t="s">
        <v>10796</v>
      </c>
    </row>
    <row r="131" spans="1:13" ht="14.4" customHeight="1" x14ac:dyDescent="0.3">
      <c r="A131" s="4" t="str" cm="1">
        <f t="array" ref="A131">_xlfn.IFS(
template_selected_display_language='Footnote (Taxonomy) Labels'!$B$1,'Footnote (Taxonomy) Labels'!$B131,
template_selected_display_language='Footnote (Taxonomy) Labels'!$C$1,'Footnote (Taxonomy) Labels'!$C131,
template_selected_display_language='Footnote (Taxonomy) Labels'!$D$1,'Footnote (Taxonomy) Labels'!$D131,
template_selected_display_language='Footnote (Taxonomy) Labels'!$E$1,'Footnote (Taxonomy) Labels'!$E131,
template_selected_display_language='Footnote (Taxonomy) Labels'!$F$1,'Footnote (Taxonomy) Labels'!$F131,
template_selected_display_language='Footnote (Taxonomy) Labels'!$G$1,'Footnote (Taxonomy) Labels'!$G131,
template_selected_display_language='Footnote (Taxonomy) Labels'!$H$1,'Footnote (Taxonomy) Labels'!$H131,
template_selected_display_language='Footnote (Taxonomy) Labels'!$I$1,'Footnote (Taxonomy) Labels'!$I131,
template_selected_display_language='Footnote (Taxonomy) Labels'!$J$1,'Footnote (Taxonomy) Labels'!$J131,
template_selected_display_language='Footnote (Taxonomy) Labels'!$K$1,'Footnote (Taxonomy) Labels'!$K131,
template_selected_display_language='Footnote (Taxonomy) Labels'!$L$1,'Footnote (Taxonomy) Labels'!$L131,
template_selected_display_language='Footnote (Taxonomy) Labels'!$M$1,'Footnote (Taxonomy) Labels'!$M131
)</f>
        <v>Spécification de tout incident confirmé impliquant des travailleurs dans la chaîne de valeur, des communautés affectées, des consommateurs et des utilisateurs finaux</v>
      </c>
      <c r="B131" s="544" t="s">
        <v>10797</v>
      </c>
      <c r="C131" s="537" t="s">
        <v>10798</v>
      </c>
      <c r="D131" s="537" t="s">
        <v>10799</v>
      </c>
      <c r="E131" s="537" t="s">
        <v>10800</v>
      </c>
      <c r="F131" s="537" t="s">
        <v>7732</v>
      </c>
      <c r="G131" s="537" t="s">
        <v>10801</v>
      </c>
      <c r="H131" s="537" t="s">
        <v>10802</v>
      </c>
      <c r="I131" s="537" t="s">
        <v>10803</v>
      </c>
      <c r="J131" s="537" t="s">
        <v>7736</v>
      </c>
      <c r="K131" s="537" t="s">
        <v>7739</v>
      </c>
      <c r="L131" s="537" t="s">
        <v>10804</v>
      </c>
      <c r="M131" s="539" t="s">
        <v>10805</v>
      </c>
    </row>
    <row r="132" spans="1:13" ht="14.4" customHeight="1" x14ac:dyDescent="0.3">
      <c r="A132" s="4" t="str" cm="1">
        <f t="array" ref="A132">_xlfn.IFS(
template_selected_display_language='Footnote (Taxonomy) Labels'!$B$1,'Footnote (Taxonomy) Labels'!$B132,
template_selected_display_language='Footnote (Taxonomy) Labels'!$C$1,'Footnote (Taxonomy) Labels'!$C132,
template_selected_display_language='Footnote (Taxonomy) Labels'!$D$1,'Footnote (Taxonomy) Labels'!$D132,
template_selected_display_language='Footnote (Taxonomy) Labels'!$E$1,'Footnote (Taxonomy) Labels'!$E132,
template_selected_display_language='Footnote (Taxonomy) Labels'!$F$1,'Footnote (Taxonomy) Labels'!$F132,
template_selected_display_language='Footnote (Taxonomy) Labels'!$G$1,'Footnote (Taxonomy) Labels'!$G132,
template_selected_display_language='Footnote (Taxonomy) Labels'!$H$1,'Footnote (Taxonomy) Labels'!$H132,
template_selected_display_language='Footnote (Taxonomy) Labels'!$I$1,'Footnote (Taxonomy) Labels'!$I132,
template_selected_display_language='Footnote (Taxonomy) Labels'!$J$1,'Footnote (Taxonomy) Labels'!$J132,
template_selected_display_language='Footnote (Taxonomy) Labels'!$K$1,'Footnote (Taxonomy) Labels'!$K132,
template_selected_display_language='Footnote (Taxonomy) Labels'!$L$1,'Footnote (Taxonomy) Labels'!$L132,
template_selected_display_language='Footnote (Taxonomy) Labels'!$M$1,'Footnote (Taxonomy) Labels'!$M132
)</f>
        <v>Chiffre d'affaires réalisé à partir des armes controversées (mines antipersonnel, armes à sous-munitions, armes chimiques et armes biologiques)</v>
      </c>
      <c r="B132" s="544" t="s">
        <v>10806</v>
      </c>
      <c r="C132" s="537" t="s">
        <v>10807</v>
      </c>
      <c r="D132" s="537" t="s">
        <v>10808</v>
      </c>
      <c r="E132" s="537" t="s">
        <v>7843</v>
      </c>
      <c r="F132" s="537" t="s">
        <v>7844</v>
      </c>
      <c r="G132" s="537" t="s">
        <v>10809</v>
      </c>
      <c r="H132" s="537" t="s">
        <v>7846</v>
      </c>
      <c r="I132" s="537" t="s">
        <v>10810</v>
      </c>
      <c r="J132" s="537" t="s">
        <v>7848</v>
      </c>
      <c r="K132" s="537" t="s">
        <v>7851</v>
      </c>
      <c r="L132" s="537" t="s">
        <v>7850</v>
      </c>
      <c r="M132" s="539" t="s">
        <v>10811</v>
      </c>
    </row>
    <row r="133" spans="1:13" ht="14.4" customHeight="1" x14ac:dyDescent="0.3">
      <c r="A133" s="4" t="str" cm="1">
        <f t="array" ref="A133">_xlfn.IFS(
template_selected_display_language='Footnote (Taxonomy) Labels'!$B$1,'Footnote (Taxonomy) Labels'!$B133,
template_selected_display_language='Footnote (Taxonomy) Labels'!$C$1,'Footnote (Taxonomy) Labels'!$C133,
template_selected_display_language='Footnote (Taxonomy) Labels'!$D$1,'Footnote (Taxonomy) Labels'!$D133,
template_selected_display_language='Footnote (Taxonomy) Labels'!$E$1,'Footnote (Taxonomy) Labels'!$E133,
template_selected_display_language='Footnote (Taxonomy) Labels'!$F$1,'Footnote (Taxonomy) Labels'!$F133,
template_selected_display_language='Footnote (Taxonomy) Labels'!$G$1,'Footnote (Taxonomy) Labels'!$G133,
template_selected_display_language='Footnote (Taxonomy) Labels'!$H$1,'Footnote (Taxonomy) Labels'!$H133,
template_selected_display_language='Footnote (Taxonomy) Labels'!$I$1,'Footnote (Taxonomy) Labels'!$I133,
template_selected_display_language='Footnote (Taxonomy) Labels'!$J$1,'Footnote (Taxonomy) Labels'!$J133,
template_selected_display_language='Footnote (Taxonomy) Labels'!$K$1,'Footnote (Taxonomy) Labels'!$K133,
template_selected_display_language='Footnote (Taxonomy) Labels'!$L$1,'Footnote (Taxonomy) Labels'!$L133,
template_selected_display_language='Footnote (Taxonomy) Labels'!$M$1,'Footnote (Taxonomy) Labels'!$M133
)</f>
        <v>Chiffre d'affaires réalisé à partir de la culture et la production de tabac</v>
      </c>
      <c r="B133" s="544" t="s">
        <v>7853</v>
      </c>
      <c r="C133" s="537" t="s">
        <v>7854</v>
      </c>
      <c r="D133" s="537" t="s">
        <v>10812</v>
      </c>
      <c r="E133" s="537" t="s">
        <v>7856</v>
      </c>
      <c r="F133" s="537" t="s">
        <v>7857</v>
      </c>
      <c r="G133" s="537" t="s">
        <v>10813</v>
      </c>
      <c r="H133" s="537" t="s">
        <v>10814</v>
      </c>
      <c r="I133" s="537" t="s">
        <v>10815</v>
      </c>
      <c r="J133" s="537" t="s">
        <v>7861</v>
      </c>
      <c r="K133" s="537" t="s">
        <v>10816</v>
      </c>
      <c r="L133" s="537" t="s">
        <v>7863</v>
      </c>
      <c r="M133" s="539" t="s">
        <v>7862</v>
      </c>
    </row>
    <row r="134" spans="1:13" ht="14.4" customHeight="1" x14ac:dyDescent="0.3">
      <c r="A134" s="4" t="str" cm="1">
        <f t="array" ref="A134">_xlfn.IFS(
template_selected_display_language='Footnote (Taxonomy) Labels'!$B$1,'Footnote (Taxonomy) Labels'!$B134,
template_selected_display_language='Footnote (Taxonomy) Labels'!$C$1,'Footnote (Taxonomy) Labels'!$C134,
template_selected_display_language='Footnote (Taxonomy) Labels'!$D$1,'Footnote (Taxonomy) Labels'!$D134,
template_selected_display_language='Footnote (Taxonomy) Labels'!$E$1,'Footnote (Taxonomy) Labels'!$E134,
template_selected_display_language='Footnote (Taxonomy) Labels'!$F$1,'Footnote (Taxonomy) Labels'!$F134,
template_selected_display_language='Footnote (Taxonomy) Labels'!$G$1,'Footnote (Taxonomy) Labels'!$G134,
template_selected_display_language='Footnote (Taxonomy) Labels'!$H$1,'Footnote (Taxonomy) Labels'!$H134,
template_selected_display_language='Footnote (Taxonomy) Labels'!$I$1,'Footnote (Taxonomy) Labels'!$I134,
template_selected_display_language='Footnote (Taxonomy) Labels'!$J$1,'Footnote (Taxonomy) Labels'!$J134,
template_selected_display_language='Footnote (Taxonomy) Labels'!$K$1,'Footnote (Taxonomy) Labels'!$K134,
template_selected_display_language='Footnote (Taxonomy) Labels'!$L$1,'Footnote (Taxonomy) Labels'!$L134,
template_selected_display_language='Footnote (Taxonomy) Labels'!$M$1,'Footnote (Taxonomy) Labels'!$M134
)</f>
        <v xml:space="preserve">	
Chiffre d'affaire total réalisé à partir du secteur des combustibles fossiles (charbon, pétrole et gaz)</v>
      </c>
      <c r="B134" s="544" t="s">
        <v>10817</v>
      </c>
      <c r="C134" s="537" t="s">
        <v>10818</v>
      </c>
      <c r="D134" s="537" t="s">
        <v>10819</v>
      </c>
      <c r="E134" s="537" t="s">
        <v>10820</v>
      </c>
      <c r="F134" s="537" t="s">
        <v>10821</v>
      </c>
      <c r="G134" s="537" t="s">
        <v>10822</v>
      </c>
      <c r="H134" s="537" t="s">
        <v>10823</v>
      </c>
      <c r="I134" s="537" t="s">
        <v>10824</v>
      </c>
      <c r="J134" s="537" t="s">
        <v>10825</v>
      </c>
      <c r="K134" s="537" t="s">
        <v>10826</v>
      </c>
      <c r="L134" s="537" t="s">
        <v>10827</v>
      </c>
      <c r="M134" s="539" t="s">
        <v>10828</v>
      </c>
    </row>
    <row r="135" spans="1:13" ht="14.4" customHeight="1" x14ac:dyDescent="0.3">
      <c r="A135" s="4" t="str" cm="1">
        <f t="array" ref="A135">_xlfn.IFS(
template_selected_display_language='Footnote (Taxonomy) Labels'!$B$1,'Footnote (Taxonomy) Labels'!$B135,
template_selected_display_language='Footnote (Taxonomy) Labels'!$C$1,'Footnote (Taxonomy) Labels'!$C135,
template_selected_display_language='Footnote (Taxonomy) Labels'!$D$1,'Footnote (Taxonomy) Labels'!$D135,
template_selected_display_language='Footnote (Taxonomy) Labels'!$E$1,'Footnote (Taxonomy) Labels'!$E135,
template_selected_display_language='Footnote (Taxonomy) Labels'!$F$1,'Footnote (Taxonomy) Labels'!$F135,
template_selected_display_language='Footnote (Taxonomy) Labels'!$G$1,'Footnote (Taxonomy) Labels'!$G135,
template_selected_display_language='Footnote (Taxonomy) Labels'!$H$1,'Footnote (Taxonomy) Labels'!$H135,
template_selected_display_language='Footnote (Taxonomy) Labels'!$I$1,'Footnote (Taxonomy) Labels'!$I135,
template_selected_display_language='Footnote (Taxonomy) Labels'!$J$1,'Footnote (Taxonomy) Labels'!$J135,
template_selected_display_language='Footnote (Taxonomy) Labels'!$K$1,'Footnote (Taxonomy) Labels'!$K135,
template_selected_display_language='Footnote (Taxonomy) Labels'!$L$1,'Footnote (Taxonomy) Labels'!$L135,
template_selected_display_language='Footnote (Taxonomy) Labels'!$M$1,'Footnote (Taxonomy) Labels'!$M135
)</f>
        <v>Chiffre d'affaires réalisé à partir du charbon</v>
      </c>
      <c r="B135" s="544" t="s">
        <v>7866</v>
      </c>
      <c r="C135" s="537" t="s">
        <v>10829</v>
      </c>
      <c r="D135" s="537" t="s">
        <v>7868</v>
      </c>
      <c r="E135" s="537" t="s">
        <v>7869</v>
      </c>
      <c r="F135" s="537" t="s">
        <v>7870</v>
      </c>
      <c r="G135" s="537" t="s">
        <v>10830</v>
      </c>
      <c r="H135" s="537" t="s">
        <v>7872</v>
      </c>
      <c r="I135" s="537" t="s">
        <v>10831</v>
      </c>
      <c r="J135" s="537" t="s">
        <v>7874</v>
      </c>
      <c r="K135" s="537" t="s">
        <v>7877</v>
      </c>
      <c r="L135" s="537" t="s">
        <v>7876</v>
      </c>
      <c r="M135" s="539" t="s">
        <v>10832</v>
      </c>
    </row>
    <row r="136" spans="1:13" ht="14.4" customHeight="1" x14ac:dyDescent="0.3">
      <c r="A136" s="4" t="str" cm="1">
        <f t="array" ref="A136">_xlfn.IFS(
template_selected_display_language='Footnote (Taxonomy) Labels'!$B$1,'Footnote (Taxonomy) Labels'!$B136,
template_selected_display_language='Footnote (Taxonomy) Labels'!$C$1,'Footnote (Taxonomy) Labels'!$C136,
template_selected_display_language='Footnote (Taxonomy) Labels'!$D$1,'Footnote (Taxonomy) Labels'!$D136,
template_selected_display_language='Footnote (Taxonomy) Labels'!$E$1,'Footnote (Taxonomy) Labels'!$E136,
template_selected_display_language='Footnote (Taxonomy) Labels'!$F$1,'Footnote (Taxonomy) Labels'!$F136,
template_selected_display_language='Footnote (Taxonomy) Labels'!$G$1,'Footnote (Taxonomy) Labels'!$G136,
template_selected_display_language='Footnote (Taxonomy) Labels'!$H$1,'Footnote (Taxonomy) Labels'!$H136,
template_selected_display_language='Footnote (Taxonomy) Labels'!$I$1,'Footnote (Taxonomy) Labels'!$I136,
template_selected_display_language='Footnote (Taxonomy) Labels'!$J$1,'Footnote (Taxonomy) Labels'!$J136,
template_selected_display_language='Footnote (Taxonomy) Labels'!$K$1,'Footnote (Taxonomy) Labels'!$K136,
template_selected_display_language='Footnote (Taxonomy) Labels'!$L$1,'Footnote (Taxonomy) Labels'!$L136,
template_selected_display_language='Footnote (Taxonomy) Labels'!$M$1,'Footnote (Taxonomy) Labels'!$M136
)</f>
        <v>Chiffre d'affaires réalisé à partir du pétrole</v>
      </c>
      <c r="B136" s="544" t="s">
        <v>7879</v>
      </c>
      <c r="C136" s="537" t="s">
        <v>10833</v>
      </c>
      <c r="D136" s="537" t="s">
        <v>7881</v>
      </c>
      <c r="E136" s="537" t="s">
        <v>7882</v>
      </c>
      <c r="F136" s="537" t="s">
        <v>7883</v>
      </c>
      <c r="G136" s="537" t="s">
        <v>10834</v>
      </c>
      <c r="H136" s="537" t="s">
        <v>7885</v>
      </c>
      <c r="I136" s="537" t="s">
        <v>7886</v>
      </c>
      <c r="J136" s="537" t="s">
        <v>7887</v>
      </c>
      <c r="K136" s="537" t="s">
        <v>7890</v>
      </c>
      <c r="L136" s="537" t="s">
        <v>7889</v>
      </c>
      <c r="M136" s="539" t="s">
        <v>10835</v>
      </c>
    </row>
    <row r="137" spans="1:13" ht="14.4" customHeight="1" x14ac:dyDescent="0.3">
      <c r="A137" s="4" t="str" cm="1">
        <f t="array" ref="A137">_xlfn.IFS(
template_selected_display_language='Footnote (Taxonomy) Labels'!$B$1,'Footnote (Taxonomy) Labels'!$B137,
template_selected_display_language='Footnote (Taxonomy) Labels'!$C$1,'Footnote (Taxonomy) Labels'!$C137,
template_selected_display_language='Footnote (Taxonomy) Labels'!$D$1,'Footnote (Taxonomy) Labels'!$D137,
template_selected_display_language='Footnote (Taxonomy) Labels'!$E$1,'Footnote (Taxonomy) Labels'!$E137,
template_selected_display_language='Footnote (Taxonomy) Labels'!$F$1,'Footnote (Taxonomy) Labels'!$F137,
template_selected_display_language='Footnote (Taxonomy) Labels'!$G$1,'Footnote (Taxonomy) Labels'!$G137,
template_selected_display_language='Footnote (Taxonomy) Labels'!$H$1,'Footnote (Taxonomy) Labels'!$H137,
template_selected_display_language='Footnote (Taxonomy) Labels'!$I$1,'Footnote (Taxonomy) Labels'!$I137,
template_selected_display_language='Footnote (Taxonomy) Labels'!$J$1,'Footnote (Taxonomy) Labels'!$J137,
template_selected_display_language='Footnote (Taxonomy) Labels'!$K$1,'Footnote (Taxonomy) Labels'!$K137,
template_selected_display_language='Footnote (Taxonomy) Labels'!$L$1,'Footnote (Taxonomy) Labels'!$L137,
template_selected_display_language='Footnote (Taxonomy) Labels'!$M$1,'Footnote (Taxonomy) Labels'!$M137
)</f>
        <v>Chiffre d'affaires réalisé à partir du gaz</v>
      </c>
      <c r="B137" s="544" t="s">
        <v>7892</v>
      </c>
      <c r="C137" s="537" t="s">
        <v>10836</v>
      </c>
      <c r="D137" s="537" t="s">
        <v>10837</v>
      </c>
      <c r="E137" s="537" t="s">
        <v>7895</v>
      </c>
      <c r="F137" s="537" t="s">
        <v>7896</v>
      </c>
      <c r="G137" s="537" t="s">
        <v>10838</v>
      </c>
      <c r="H137" s="537" t="s">
        <v>7898</v>
      </c>
      <c r="I137" s="537" t="s">
        <v>7899</v>
      </c>
      <c r="J137" s="537" t="s">
        <v>7900</v>
      </c>
      <c r="K137" s="537" t="s">
        <v>7903</v>
      </c>
      <c r="L137" s="537" t="s">
        <v>7902</v>
      </c>
      <c r="M137" s="539" t="s">
        <v>10839</v>
      </c>
    </row>
    <row r="138" spans="1:13" ht="14.4" customHeight="1" x14ac:dyDescent="0.3">
      <c r="A138" s="4" t="str" cm="1">
        <f t="array" ref="A138">_xlfn.IFS(
template_selected_display_language='Footnote (Taxonomy) Labels'!$B$1,'Footnote (Taxonomy) Labels'!$B138,
template_selected_display_language='Footnote (Taxonomy) Labels'!$C$1,'Footnote (Taxonomy) Labels'!$C138,
template_selected_display_language='Footnote (Taxonomy) Labels'!$D$1,'Footnote (Taxonomy) Labels'!$D138,
template_selected_display_language='Footnote (Taxonomy) Labels'!$E$1,'Footnote (Taxonomy) Labels'!$E138,
template_selected_display_language='Footnote (Taxonomy) Labels'!$F$1,'Footnote (Taxonomy) Labels'!$F138,
template_selected_display_language='Footnote (Taxonomy) Labels'!$G$1,'Footnote (Taxonomy) Labels'!$G138,
template_selected_display_language='Footnote (Taxonomy) Labels'!$H$1,'Footnote (Taxonomy) Labels'!$H138,
template_selected_display_language='Footnote (Taxonomy) Labels'!$I$1,'Footnote (Taxonomy) Labels'!$I138,
template_selected_display_language='Footnote (Taxonomy) Labels'!$J$1,'Footnote (Taxonomy) Labels'!$J138,
template_selected_display_language='Footnote (Taxonomy) Labels'!$K$1,'Footnote (Taxonomy) Labels'!$K138,
template_selected_display_language='Footnote (Taxonomy) Labels'!$L$1,'Footnote (Taxonomy) Labels'!$L138,
template_selected_display_language='Footnote (Taxonomy) Labels'!$M$1,'Footnote (Taxonomy) Labels'!$M138
)</f>
        <v>Chiffre d'affaires réalisé à partir de la production de produits chimiques</v>
      </c>
      <c r="B138" s="544" t="s">
        <v>10840</v>
      </c>
      <c r="C138" s="537" t="s">
        <v>10841</v>
      </c>
      <c r="D138" s="537" t="s">
        <v>10842</v>
      </c>
      <c r="E138" s="537" t="s">
        <v>7921</v>
      </c>
      <c r="F138" s="537" t="s">
        <v>7922</v>
      </c>
      <c r="G138" s="537" t="s">
        <v>7923</v>
      </c>
      <c r="H138" s="537" t="s">
        <v>7924</v>
      </c>
      <c r="I138" s="537" t="s">
        <v>7925</v>
      </c>
      <c r="J138" s="537" t="s">
        <v>7926</v>
      </c>
      <c r="K138" s="537" t="s">
        <v>10843</v>
      </c>
      <c r="L138" s="537" t="s">
        <v>10844</v>
      </c>
      <c r="M138" s="539" t="s">
        <v>10845</v>
      </c>
    </row>
    <row r="139" spans="1:13" ht="14.4" customHeight="1" x14ac:dyDescent="0.3">
      <c r="A139" s="4" t="str" cm="1">
        <f t="array" ref="A139">_xlfn.IFS(
template_selected_display_language='Footnote (Taxonomy) Labels'!$B$1,'Footnote (Taxonomy) Labels'!$B139,
template_selected_display_language='Footnote (Taxonomy) Labels'!$C$1,'Footnote (Taxonomy) Labels'!$C139,
template_selected_display_language='Footnote (Taxonomy) Labels'!$D$1,'Footnote (Taxonomy) Labels'!$D139,
template_selected_display_language='Footnote (Taxonomy) Labels'!$E$1,'Footnote (Taxonomy) Labels'!$E139,
template_selected_display_language='Footnote (Taxonomy) Labels'!$F$1,'Footnote (Taxonomy) Labels'!$F139,
template_selected_display_language='Footnote (Taxonomy) Labels'!$G$1,'Footnote (Taxonomy) Labels'!$G139,
template_selected_display_language='Footnote (Taxonomy) Labels'!$H$1,'Footnote (Taxonomy) Labels'!$H139,
template_selected_display_language='Footnote (Taxonomy) Labels'!$I$1,'Footnote (Taxonomy) Labels'!$I139,
template_selected_display_language='Footnote (Taxonomy) Labels'!$J$1,'Footnote (Taxonomy) Labels'!$J139,
template_selected_display_language='Footnote (Taxonomy) Labels'!$K$1,'Footnote (Taxonomy) Labels'!$K139,
template_selected_display_language='Footnote (Taxonomy) Labels'!$L$1,'Footnote (Taxonomy) Labels'!$L139,
template_selected_display_language='Footnote (Taxonomy) Labels'!$M$1,'Footnote (Taxonomy) Labels'!$M139
)</f>
        <v>Exclusion des indices de référence  « accord de Paris » de l'Union européenne</v>
      </c>
      <c r="B139" s="544" t="s">
        <v>10846</v>
      </c>
      <c r="C139" s="537" t="s">
        <v>10847</v>
      </c>
      <c r="D139" s="537" t="s">
        <v>8024</v>
      </c>
      <c r="E139" s="537" t="s">
        <v>10848</v>
      </c>
      <c r="F139" s="537" t="s">
        <v>8026</v>
      </c>
      <c r="G139" s="537" t="s">
        <v>10849</v>
      </c>
      <c r="H139" s="537" t="s">
        <v>10850</v>
      </c>
      <c r="I139" s="537" t="s">
        <v>10851</v>
      </c>
      <c r="J139" s="537" t="s">
        <v>8030</v>
      </c>
      <c r="K139" s="537" t="s">
        <v>10852</v>
      </c>
      <c r="L139" s="537" t="s">
        <v>10853</v>
      </c>
      <c r="M139" s="539" t="s">
        <v>10854</v>
      </c>
    </row>
    <row r="140" spans="1:13" ht="14.4" customHeight="1" x14ac:dyDescent="0.3">
      <c r="A140" s="4" t="str" cm="1">
        <f t="array" ref="A140">_xlfn.IFS(
template_selected_display_language='Footnote (Taxonomy) Labels'!$B$1,'Footnote (Taxonomy) Labels'!$B140,
template_selected_display_language='Footnote (Taxonomy) Labels'!$C$1,'Footnote (Taxonomy) Labels'!$C140,
template_selected_display_language='Footnote (Taxonomy) Labels'!$D$1,'Footnote (Taxonomy) Labels'!$D140,
template_selected_display_language='Footnote (Taxonomy) Labels'!$E$1,'Footnote (Taxonomy) Labels'!$E140,
template_selected_display_language='Footnote (Taxonomy) Labels'!$F$1,'Footnote (Taxonomy) Labels'!$F140,
template_selected_display_language='Footnote (Taxonomy) Labels'!$G$1,'Footnote (Taxonomy) Labels'!$G140,
template_selected_display_language='Footnote (Taxonomy) Labels'!$H$1,'Footnote (Taxonomy) Labels'!$H140,
template_selected_display_language='Footnote (Taxonomy) Labels'!$I$1,'Footnote (Taxonomy) Labels'!$I140,
template_selected_display_language='Footnote (Taxonomy) Labels'!$J$1,'Footnote (Taxonomy) Labels'!$J140,
template_selected_display_language='Footnote (Taxonomy) Labels'!$K$1,'Footnote (Taxonomy) Labels'!$K140,
template_selected_display_language='Footnote (Taxonomy) Labels'!$L$1,'Footnote (Taxonomy) Labels'!$L140,
template_selected_display_language='Footnote (Taxonomy) Labels'!$M$1,'Footnote (Taxonomy) Labels'!$M140
)</f>
        <v>Ratio de mixité au sein de l'organe de gouvernance</v>
      </c>
      <c r="B140" s="544" t="s">
        <v>8083</v>
      </c>
      <c r="C140" s="537" t="s">
        <v>10855</v>
      </c>
      <c r="D140" s="537" t="s">
        <v>10856</v>
      </c>
      <c r="E140" s="537" t="s">
        <v>10857</v>
      </c>
      <c r="F140" s="537" t="s">
        <v>10858</v>
      </c>
      <c r="G140" s="537" t="s">
        <v>10859</v>
      </c>
      <c r="H140" s="537" t="s">
        <v>8038</v>
      </c>
      <c r="I140" s="537" t="s">
        <v>10860</v>
      </c>
      <c r="J140" s="537" t="s">
        <v>8090</v>
      </c>
      <c r="K140" s="537" t="s">
        <v>8093</v>
      </c>
      <c r="L140" s="537" t="s">
        <v>10861</v>
      </c>
      <c r="M140" s="539" t="s">
        <v>8091</v>
      </c>
    </row>
    <row r="141" spans="1:13" ht="14.4" customHeight="1" x14ac:dyDescent="0.3">
      <c r="A141" s="4" t="str" cm="1">
        <f t="array" ref="A141">_xlfn.IFS(
template_selected_display_language='Footnote (Taxonomy) Labels'!$B$1,'Footnote (Taxonomy) Labels'!$B141,
template_selected_display_language='Footnote (Taxonomy) Labels'!$C$1,'Footnote (Taxonomy) Labels'!$C141,
template_selected_display_language='Footnote (Taxonomy) Labels'!$D$1,'Footnote (Taxonomy) Labels'!$D141,
template_selected_display_language='Footnote (Taxonomy) Labels'!$E$1,'Footnote (Taxonomy) Labels'!$E141,
template_selected_display_language='Footnote (Taxonomy) Labels'!$F$1,'Footnote (Taxonomy) Labels'!$F141,
template_selected_display_language='Footnote (Taxonomy) Labels'!$G$1,'Footnote (Taxonomy) Labels'!$G141,
template_selected_display_language='Footnote (Taxonomy) Labels'!$H$1,'Footnote (Taxonomy) Labels'!$H141,
template_selected_display_language='Footnote (Taxonomy) Labels'!$I$1,'Footnote (Taxonomy) Labels'!$I141,
template_selected_display_language='Footnote (Taxonomy) Labels'!$J$1,'Footnote (Taxonomy) Labels'!$J141,
template_selected_display_language='Footnote (Taxonomy) Labels'!$K$1,'Footnote (Taxonomy) Labels'!$K141,
template_selected_display_language='Footnote (Taxonomy) Labels'!$L$1,'Footnote (Taxonomy) Labels'!$L141,
template_selected_display_language='Footnote (Taxonomy) Labels'!$M$1,'Footnote (Taxonomy) Labels'!$M141
)</f>
        <v>Publication de toute autre information générale et/ou spécifique à l’entité</v>
      </c>
      <c r="B141" s="544" t="s">
        <v>10862</v>
      </c>
      <c r="C141" s="537" t="s">
        <v>10863</v>
      </c>
      <c r="D141" s="537" t="s">
        <v>10864</v>
      </c>
      <c r="E141" s="537" t="s">
        <v>10865</v>
      </c>
      <c r="F141" s="537" t="s">
        <v>10866</v>
      </c>
      <c r="G141" s="537" t="s">
        <v>10867</v>
      </c>
      <c r="H141" s="537" t="s">
        <v>10868</v>
      </c>
      <c r="I141" s="537" t="s">
        <v>10869</v>
      </c>
      <c r="J141" s="537" t="s">
        <v>10870</v>
      </c>
      <c r="K141" s="537" t="s">
        <v>10871</v>
      </c>
      <c r="L141" s="537" t="s">
        <v>10872</v>
      </c>
      <c r="M141" s="539" t="s">
        <v>10873</v>
      </c>
    </row>
    <row r="142" spans="1:13" ht="14.4" customHeight="1" x14ac:dyDescent="0.3">
      <c r="A142" s="4" t="str" cm="1">
        <f t="array" ref="A142">_xlfn.IFS(
template_selected_display_language='Footnote (Taxonomy) Labels'!$B$1,'Footnote (Taxonomy) Labels'!$B142,
template_selected_display_language='Footnote (Taxonomy) Labels'!$C$1,'Footnote (Taxonomy) Labels'!$C142,
template_selected_display_language='Footnote (Taxonomy) Labels'!$D$1,'Footnote (Taxonomy) Labels'!$D142,
template_selected_display_language='Footnote (Taxonomy) Labels'!$E$1,'Footnote (Taxonomy) Labels'!$E142,
template_selected_display_language='Footnote (Taxonomy) Labels'!$F$1,'Footnote (Taxonomy) Labels'!$F142,
template_selected_display_language='Footnote (Taxonomy) Labels'!$G$1,'Footnote (Taxonomy) Labels'!$G142,
template_selected_display_language='Footnote (Taxonomy) Labels'!$H$1,'Footnote (Taxonomy) Labels'!$H142,
template_selected_display_language='Footnote (Taxonomy) Labels'!$I$1,'Footnote (Taxonomy) Labels'!$I142,
template_selected_display_language='Footnote (Taxonomy) Labels'!$J$1,'Footnote (Taxonomy) Labels'!$J142,
template_selected_display_language='Footnote (Taxonomy) Labels'!$K$1,'Footnote (Taxonomy) Labels'!$K142,
template_selected_display_language='Footnote (Taxonomy) Labels'!$L$1,'Footnote (Taxonomy) Labels'!$L142,
template_selected_display_language='Footnote (Taxonomy) Labels'!$M$1,'Footnote (Taxonomy) Labels'!$M142
)</f>
        <v>Publication de toute autre information environnementale et/ ou spécifique à l'entité</v>
      </c>
      <c r="B142" s="544" t="s">
        <v>10874</v>
      </c>
      <c r="C142" s="537" t="s">
        <v>6976</v>
      </c>
      <c r="D142" s="537" t="s">
        <v>10875</v>
      </c>
      <c r="E142" s="537" t="s">
        <v>6978</v>
      </c>
      <c r="F142" s="537" t="s">
        <v>6979</v>
      </c>
      <c r="G142" s="537" t="s">
        <v>10876</v>
      </c>
      <c r="H142" s="537" t="s">
        <v>6981</v>
      </c>
      <c r="I142" s="537" t="s">
        <v>6982</v>
      </c>
      <c r="J142" s="537" t="s">
        <v>6983</v>
      </c>
      <c r="K142" s="537" t="s">
        <v>6986</v>
      </c>
      <c r="L142" s="537" t="s">
        <v>10877</v>
      </c>
      <c r="M142" s="539" t="s">
        <v>6984</v>
      </c>
    </row>
    <row r="143" spans="1:13" ht="14.4" customHeight="1" x14ac:dyDescent="0.3">
      <c r="A143" s="4" t="str" cm="1">
        <f t="array" ref="A143">_xlfn.IFS(
template_selected_display_language='Footnote (Taxonomy) Labels'!$B$1,'Footnote (Taxonomy) Labels'!$B143,
template_selected_display_language='Footnote (Taxonomy) Labels'!$C$1,'Footnote (Taxonomy) Labels'!$C143,
template_selected_display_language='Footnote (Taxonomy) Labels'!$D$1,'Footnote (Taxonomy) Labels'!$D143,
template_selected_display_language='Footnote (Taxonomy) Labels'!$E$1,'Footnote (Taxonomy) Labels'!$E143,
template_selected_display_language='Footnote (Taxonomy) Labels'!$F$1,'Footnote (Taxonomy) Labels'!$F143,
template_selected_display_language='Footnote (Taxonomy) Labels'!$G$1,'Footnote (Taxonomy) Labels'!$G143,
template_selected_display_language='Footnote (Taxonomy) Labels'!$H$1,'Footnote (Taxonomy) Labels'!$H143,
template_selected_display_language='Footnote (Taxonomy) Labels'!$I$1,'Footnote (Taxonomy) Labels'!$I143,
template_selected_display_language='Footnote (Taxonomy) Labels'!$J$1,'Footnote (Taxonomy) Labels'!$J143,
template_selected_display_language='Footnote (Taxonomy) Labels'!$K$1,'Footnote (Taxonomy) Labels'!$K143,
template_selected_display_language='Footnote (Taxonomy) Labels'!$L$1,'Footnote (Taxonomy) Labels'!$L143,
template_selected_display_language='Footnote (Taxonomy) Labels'!$M$1,'Footnote (Taxonomy) Labels'!$M143
)</f>
        <v>Publication de toute autre information sociale et/ ou spécifique à l'entité</v>
      </c>
      <c r="B143" s="544" t="s">
        <v>10878</v>
      </c>
      <c r="C143" s="537" t="s">
        <v>10879</v>
      </c>
      <c r="D143" s="537" t="s">
        <v>10880</v>
      </c>
      <c r="E143" s="537" t="s">
        <v>7744</v>
      </c>
      <c r="F143" s="537" t="s">
        <v>7745</v>
      </c>
      <c r="G143" s="537" t="s">
        <v>7746</v>
      </c>
      <c r="H143" s="537" t="s">
        <v>7747</v>
      </c>
      <c r="I143" s="537" t="s">
        <v>7748</v>
      </c>
      <c r="J143" s="537" t="s">
        <v>7749</v>
      </c>
      <c r="K143" s="537" t="s">
        <v>7752</v>
      </c>
      <c r="L143" s="537" t="s">
        <v>10881</v>
      </c>
      <c r="M143" s="539" t="s">
        <v>7750</v>
      </c>
    </row>
    <row r="144" spans="1:13" ht="14.4" customHeight="1" thickBot="1" x14ac:dyDescent="0.35">
      <c r="A144" s="5" t="str" cm="1">
        <f t="array" ref="A144">_xlfn.IFS(
template_selected_display_language='Footnote (Taxonomy) Labels'!$B$1,'Footnote (Taxonomy) Labels'!$B144,
template_selected_display_language='Footnote (Taxonomy) Labels'!$C$1,'Footnote (Taxonomy) Labels'!$C144,
template_selected_display_language='Footnote (Taxonomy) Labels'!$D$1,'Footnote (Taxonomy) Labels'!$D144,
template_selected_display_language='Footnote (Taxonomy) Labels'!$E$1,'Footnote (Taxonomy) Labels'!$E144,
template_selected_display_language='Footnote (Taxonomy) Labels'!$F$1,'Footnote (Taxonomy) Labels'!$F144,
template_selected_display_language='Footnote (Taxonomy) Labels'!$G$1,'Footnote (Taxonomy) Labels'!$G144,
template_selected_display_language='Footnote (Taxonomy) Labels'!$H$1,'Footnote (Taxonomy) Labels'!$H144,
template_selected_display_language='Footnote (Taxonomy) Labels'!$I$1,'Footnote (Taxonomy) Labels'!$I144,
template_selected_display_language='Footnote (Taxonomy) Labels'!$J$1,'Footnote (Taxonomy) Labels'!$J144,
template_selected_display_language='Footnote (Taxonomy) Labels'!$K$1,'Footnote (Taxonomy) Labels'!$K144,
template_selected_display_language='Footnote (Taxonomy) Labels'!$L$1,'Footnote (Taxonomy) Labels'!$L144,
template_selected_display_language='Footnote (Taxonomy) Labels'!$M$1,'Footnote (Taxonomy) Labels'!$M144
)</f>
        <v>Publication de toute autre information de gouvernance et/ ou spécifique à l'entité</v>
      </c>
      <c r="B144" s="545" t="s">
        <v>10882</v>
      </c>
      <c r="C144" s="540" t="s">
        <v>8096</v>
      </c>
      <c r="D144" s="540" t="s">
        <v>8097</v>
      </c>
      <c r="E144" s="540" t="s">
        <v>8098</v>
      </c>
      <c r="F144" s="540" t="s">
        <v>8099</v>
      </c>
      <c r="G144" s="540" t="s">
        <v>8100</v>
      </c>
      <c r="H144" s="540" t="s">
        <v>8101</v>
      </c>
      <c r="I144" s="540" t="s">
        <v>8102</v>
      </c>
      <c r="J144" s="540" t="s">
        <v>8103</v>
      </c>
      <c r="K144" s="540" t="s">
        <v>8106</v>
      </c>
      <c r="L144" s="540" t="s">
        <v>10883</v>
      </c>
      <c r="M144" s="541" t="s">
        <v>8104</v>
      </c>
    </row>
  </sheetData>
  <sheetProtection algorithmName="SHA-512" hashValue="tCdsy/gFC5oHKk/WfwCCzlzKt4TsGFO0iyH7lYZyjKU1MhQIVvjX0MyreKOsKqxmQMc1vhj0VmLthYwxMJC0Ow==" saltValue="QEu4dJHstVrC/miEyJu7x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3BA08-EB56-4E4C-B440-D54FA8F7DF57}">
  <sheetPr codeName="Sheet1"/>
  <dimension ref="A1:R44"/>
  <sheetViews>
    <sheetView showGridLines="0" topLeftCell="A22" zoomScaleNormal="100" workbookViewId="0"/>
  </sheetViews>
  <sheetFormatPr baseColWidth="10" defaultColWidth="8.88671875" defaultRowHeight="14.4" x14ac:dyDescent="0.3"/>
  <cols>
    <col min="1" max="1" width="6" customWidth="1"/>
    <col min="2" max="2" width="84.33203125" bestFit="1" customWidth="1"/>
    <col min="3" max="3" width="56.109375" customWidth="1"/>
    <col min="4" max="4" width="69.33203125" customWidth="1"/>
    <col min="5" max="5" width="33.5546875" customWidth="1"/>
    <col min="6" max="6" width="42.33203125" bestFit="1" customWidth="1"/>
    <col min="7" max="7" width="43.44140625" bestFit="1" customWidth="1"/>
    <col min="8" max="8" width="48.88671875" bestFit="1" customWidth="1"/>
    <col min="9" max="9" width="38.5546875" customWidth="1"/>
    <col min="10" max="10" width="45.6640625" customWidth="1"/>
    <col min="11" max="11" width="29" customWidth="1"/>
    <col min="12" max="12" width="32.44140625" customWidth="1"/>
    <col min="13" max="13" width="29.5546875" customWidth="1"/>
    <col min="14" max="14" width="21.44140625" bestFit="1" customWidth="1"/>
    <col min="15" max="15" width="11.44140625" customWidth="1"/>
    <col min="16" max="16" width="20.5546875" bestFit="1" customWidth="1"/>
    <col min="17" max="17" width="14.44140625" customWidth="1"/>
    <col min="18" max="18" width="14" bestFit="1" customWidth="1"/>
    <col min="21" max="23" width="20.5546875" bestFit="1" customWidth="1"/>
  </cols>
  <sheetData>
    <row r="1" spans="2:18" x14ac:dyDescent="0.3">
      <c r="B1" s="280" t="str">
        <f>template_label_version</f>
        <v>Version :</v>
      </c>
      <c r="C1" s="548" t="s">
        <v>2</v>
      </c>
      <c r="D1" s="280"/>
    </row>
    <row r="2" spans="2:18" x14ac:dyDescent="0.3">
      <c r="B2" s="280" t="str">
        <f>template_label_publication_date</f>
        <v>Date de publication :</v>
      </c>
      <c r="C2" s="556">
        <v>46184</v>
      </c>
      <c r="D2" s="280"/>
    </row>
    <row r="3" spans="2:18" ht="35.700000000000003" customHeight="1" x14ac:dyDescent="0.3">
      <c r="B3" s="581" t="str" cm="1">
        <f t="array" aca="1" ref="B3" ca="1">IF(ISERROR(CELL("filename",A1)),template_label_warning_microsoft_excel,"")</f>
        <v/>
      </c>
      <c r="C3" s="581"/>
      <c r="D3" s="280"/>
    </row>
    <row r="5" spans="2:18" x14ac:dyDescent="0.3">
      <c r="B5" s="281"/>
    </row>
    <row r="6" spans="2:18" x14ac:dyDescent="0.3">
      <c r="B6" s="281"/>
    </row>
    <row r="7" spans="2:18" x14ac:dyDescent="0.3">
      <c r="B7" s="281"/>
    </row>
    <row r="8" spans="2:18" x14ac:dyDescent="0.3">
      <c r="B8" s="281"/>
    </row>
    <row r="9" spans="2:18" x14ac:dyDescent="0.3">
      <c r="B9" s="281"/>
    </row>
    <row r="10" spans="2:18" x14ac:dyDescent="0.3">
      <c r="B10" s="82" t="str">
        <f>template_label_taxonomy_entry_point</f>
        <v>Point d'entrée de la taxonomie XBRL :</v>
      </c>
      <c r="C10" s="561" t="s">
        <v>3</v>
      </c>
    </row>
    <row r="11" spans="2:18" x14ac:dyDescent="0.3">
      <c r="B11" s="82" t="str">
        <f>template_label_title_of_report</f>
        <v>Titre du rapport</v>
      </c>
      <c r="C11" t="str">
        <f>template_label_main_title_of_report_text</f>
        <v>Rapport de durabilité</v>
      </c>
    </row>
    <row r="12" spans="2:18" x14ac:dyDescent="0.3">
      <c r="B12" s="82" t="str">
        <f>template_label_subtitle_of_report</f>
        <v>Sous-titre du rapport</v>
      </c>
      <c r="C12" t="str">
        <f>template_label_subtitle_of_report_text</f>
        <v>Préparé conformément à la norme volontaire d’information en matière de durabilité pour les petites et moyennes entreprises (VSME), publiée par la Commission européenne le 30 juillet 2025</v>
      </c>
    </row>
    <row r="13" spans="2:18" s="283" customFormat="1" ht="63" x14ac:dyDescent="1.2">
      <c r="B13" s="282" t="str">
        <f>template_label_vsme_digital_template</f>
        <v>Format numérique VSME</v>
      </c>
    </row>
    <row r="14" spans="2:18" ht="381.6" customHeight="1" x14ac:dyDescent="0.3">
      <c r="B14" s="582" t="str">
        <f>template_label_the_purpose_of_this_digital_template_is_to_illustrate_how_vsme_reporting_can_be_implemented_in_a_digital_template</f>
        <v>L'objectif de ce format numérique est d’illustrer la manière dont le reporting VSME peut être mis en œuvre dans un format numérique standardisé. Ce format reflète la recommandation VSME telle que publiée par la Commission européenne le 30 juillet 2025. Il est accompagné d’une taxonomie numérique VSME au format XBRL, qui représente le modèle de données numériques correspondant aux informations à publier et est disponible sur le site internet de l’EFRAG. 
La norme VSME exige la publication d’informations comparatives sur les indicateurs (paragraphe 12). Le présent format permet de réaliser un reporting pour une seule période. Par conséquent, il peut être utilisé uniquement pour le reporting de la première année. Il est attendu que les futures solutions de reporting permettent la reconduction des périodes de reporting, afin de fournir automatiquement les informations comparatives nécessaires. 
Ce format peut être utilisé pour la saisie et la validation des données. 
En utilisant le convertisseur XBRL disponible sur le site de l'EFRAG, il peut être enregistré sous forme de rapport XBRL, dans un format de données libre et ouvert. Les plages nommées d’Excel sont utilisées pour extraire les informations à publier. Les cellules de valeur vides, ne contenant aucune donnée (ni texte ni nombre), ne seront pas considérées comme renseignées et ne seront donc pas incluses dans le rapport XBRL lors de l’utilisation du convertisseur Excel vers XBRL. 
Certains menus déroulants comportent plus de 100 entrées (par ex. les codes NACE sous B1, la liste des polluants sous B4, la liste des déchets sous B7). Pour effectuer une recherche dans ces listes, les utilisateurs peuvent simplement taper un mot-clé dans la cellule concernée.
En cas d’avertissement de sécurité, veuillez cliquer sur « Activer le contenu » afin d’autoriser le calcul automatique des coordonnées GPS pour la liste des sites sous B1. Aucun contenu autre que l’adresse saisie ne sera transmis sur Internet, et les informations partagées avec le prestataire peuvent être consultées dans la politique d’utilisation de Nominatim (Politique de géocodage) et la politique de confidentialité. 
L’ensemble des supports développés par le Secrétariat de l’EFRAG est mis à disposition gratuitement et en open source (sous licence MIT), ce qui permettra à toute partie prenante de les améliorer et de les intégrer dans des solutions commerciales. Cependant, les fournisseurs de ces solutions commerciales doivent respecter les conditions de la licence, notamment la mention obligatoire de la référence à l’EFRAG. La licence MIT peut être consultée dans la feuille dédiée. 
Si vous souhaitez signaler un problème concernant le format numérique VSME ou le convertisseur du format numérique vers XBRL, nous vous invitons à le faire en créant un ticket dans le projet GitHub.</v>
      </c>
      <c r="C14" s="583"/>
      <c r="D14" s="583"/>
      <c r="E14" s="584"/>
      <c r="F14" s="284"/>
      <c r="G14" s="284"/>
      <c r="H14" s="284"/>
      <c r="I14" s="284"/>
      <c r="J14" s="284"/>
      <c r="K14" s="284"/>
      <c r="L14" s="284"/>
      <c r="M14" s="284"/>
      <c r="N14" s="284"/>
      <c r="O14" s="284"/>
      <c r="P14" s="284"/>
      <c r="Q14" s="284"/>
      <c r="R14" s="284"/>
    </row>
    <row r="15" spans="2:18" ht="19.95" customHeight="1" x14ac:dyDescent="0.3">
      <c r="B15" s="285"/>
      <c r="C15" s="285"/>
      <c r="D15" s="285"/>
      <c r="E15" s="285"/>
      <c r="F15" s="284"/>
      <c r="G15" s="284"/>
      <c r="H15" s="284"/>
      <c r="I15" s="284"/>
      <c r="J15" s="284"/>
      <c r="K15" s="284"/>
      <c r="L15" s="284"/>
      <c r="M15" s="284"/>
      <c r="N15" s="284"/>
      <c r="O15" s="284"/>
      <c r="P15" s="284"/>
      <c r="Q15" s="284"/>
      <c r="R15" s="284"/>
    </row>
    <row r="16" spans="2:18" x14ac:dyDescent="0.3">
      <c r="B16" s="281"/>
    </row>
    <row r="17" spans="1:18" ht="26.7" customHeight="1" x14ac:dyDescent="0.4">
      <c r="B17" s="286" t="str">
        <f>template_label_how_to_use_it</f>
        <v>Comment l'utiliser :</v>
      </c>
      <c r="C17" s="287"/>
      <c r="D17" s="287"/>
      <c r="E17" s="288"/>
      <c r="F17" s="289"/>
      <c r="G17" s="289"/>
      <c r="H17" s="289"/>
      <c r="I17" s="289"/>
      <c r="J17" s="289"/>
      <c r="K17" s="289"/>
      <c r="L17" s="289"/>
      <c r="M17" s="289"/>
      <c r="N17" s="289"/>
      <c r="O17" s="289"/>
      <c r="P17" s="289"/>
      <c r="Q17" s="289"/>
      <c r="R17" s="289"/>
    </row>
    <row r="18" spans="1:18" ht="18" x14ac:dyDescent="0.3">
      <c r="B18" s="585" t="str">
        <f>template_label_0_provide_information_that_is_mandatory_in_order_to_generate_the_vsme_and_xbrl_report</f>
        <v>0. Fournissez les informations obligatoires pour générer le rapport VSME et XBRL.</v>
      </c>
      <c r="C18" s="586"/>
      <c r="D18" s="586"/>
      <c r="E18" s="587"/>
      <c r="F18" s="290"/>
      <c r="G18" s="290"/>
      <c r="H18" s="290"/>
      <c r="I18" s="290"/>
      <c r="J18" s="290"/>
      <c r="K18" s="290"/>
      <c r="L18" s="290"/>
      <c r="M18" s="290"/>
      <c r="N18" s="290"/>
      <c r="O18" s="290"/>
      <c r="P18" s="290"/>
      <c r="Q18" s="290"/>
      <c r="R18" s="290"/>
    </row>
    <row r="19" spans="1:18" ht="59.4" customHeight="1" x14ac:dyDescent="0.3">
      <c r="B19" s="585" t="str">
        <f>template_label_1_fill_in_the_disclosures_on_the_four_worksheets</f>
        <v>1. Remplissez les informations demandées dans les quatre feuilles de travail (Informations générales, Informations environnementales, Informations sociales, Informations de gouvernance) dans les cellules blanches encadrées d'une bordure noire. N'entrez aucune information en dehors de ces cellules. La recherche dans les menus déroulants peut être effectuée en tapant directement un mot-clé dans la cellule. Des indications (messages d'aide à la saisie) peuvent être affichées dans certaines cellules lors de leur sélection.</v>
      </c>
      <c r="C19" s="586"/>
      <c r="D19" s="586"/>
      <c r="E19" s="587"/>
      <c r="F19" s="290"/>
      <c r="G19" s="290"/>
      <c r="H19" s="290"/>
      <c r="I19" s="290"/>
      <c r="J19" s="290"/>
      <c r="K19" s="290"/>
      <c r="L19" s="290"/>
      <c r="M19" s="290"/>
      <c r="N19" s="290"/>
      <c r="O19" s="290"/>
      <c r="P19" s="290"/>
      <c r="Q19" s="290"/>
      <c r="R19" s="290"/>
    </row>
    <row r="20" spans="1:18" ht="39.6" customHeight="1" x14ac:dyDescent="0.3">
      <c r="B20" s="606" t="str">
        <f>template_label_2_find_more_information_on_the_actual_disclosure_requirements_in_the_vsme_standard</f>
        <v>2. Consultez les liens associés pour obtenir plus d’informations sur les exigences de publication de la norme VSME, ainsi que sur les orientations correspondantes liées à chaque cellule. Des informations supplémentaires ou spécifiques à l'entité peuvent être fournies dans chaque zone de texte située à la fin de chaque feuille de travail.</v>
      </c>
      <c r="C20" s="607"/>
      <c r="D20" s="607"/>
      <c r="E20" s="608"/>
      <c r="F20" s="291"/>
      <c r="G20" s="291"/>
      <c r="H20" s="291"/>
      <c r="I20" s="291"/>
      <c r="J20" s="291"/>
      <c r="K20" s="291"/>
      <c r="L20" s="291"/>
      <c r="M20" s="291"/>
      <c r="N20" s="291"/>
      <c r="O20" s="291"/>
      <c r="P20" s="291"/>
      <c r="Q20" s="291"/>
      <c r="R20" s="291"/>
    </row>
    <row r="21" spans="1:18" ht="36" customHeight="1" x14ac:dyDescent="0.3">
      <c r="B21" s="585" t="str">
        <f>template_label_3_for_open_tables_like_the_list_of_subsidizers_sites_please_expand_the_groups_by_clicking_the_plus</f>
        <v>3. Pour les tableaux ouverts, tels que la liste des filiales, veuillez développer les groupes en cliquant sur l’icône plus [+] située sur le côté gauche.
Si des lignes supplémentaires sont nécessaires, elles peuvent être ajoutées en les insérant entre la première et la dernière ligne du tableau.
Les identifiants des lignes dans les tableaux ouverts doivent rester uniques dans chacun des tableaux.</v>
      </c>
      <c r="C21" s="586"/>
      <c r="D21" s="586"/>
      <c r="E21" s="587"/>
      <c r="F21" s="291"/>
      <c r="G21" s="291"/>
      <c r="H21" s="291"/>
      <c r="I21" s="291"/>
      <c r="J21" s="291"/>
      <c r="K21" s="291"/>
      <c r="L21" s="291"/>
      <c r="M21" s="291"/>
      <c r="N21" s="291"/>
      <c r="O21" s="291"/>
      <c r="P21" s="291"/>
      <c r="Q21" s="291"/>
      <c r="R21" s="291"/>
    </row>
    <row r="22" spans="1:18" s="292" customFormat="1" ht="18" x14ac:dyDescent="0.3">
      <c r="B22" s="606" t="str">
        <f>template_label_4_validate_the_data_entered_by_checking_the_validation_status</f>
        <v>4. Validez les données saisies en vérifiant le statut de validation. Le rapport est considéré comme incomplet ou erroné si la validation échoue, ce qui peut entraîner la génération d’un rapport XBRL non valide.</v>
      </c>
      <c r="C22" s="607"/>
      <c r="D22" s="607"/>
      <c r="E22" s="608"/>
      <c r="F22" s="291"/>
      <c r="G22" s="291"/>
      <c r="H22" s="291"/>
      <c r="I22" s="291"/>
      <c r="J22" s="291"/>
      <c r="K22" s="291"/>
      <c r="L22" s="291"/>
      <c r="M22" s="291"/>
      <c r="N22" s="291"/>
      <c r="O22" s="291"/>
      <c r="P22" s="291"/>
      <c r="Q22" s="291"/>
      <c r="R22" s="291"/>
    </row>
    <row r="23" spans="1:18" ht="18" x14ac:dyDescent="0.3">
      <c r="B23" s="606" t="str">
        <f>template_label_5_convert_this_template_to_an_inline_xbrl_report</f>
        <v>5. Convertissez ce format en rapport Inline XBRL (ou XBRL-JSON, XBRL-CSV), en utilisant le convertisseur en ligne: https://xbrl.efrag.org/convert/. Faites attention à la validation XBRL effectuée par l'outil de validation.</v>
      </c>
      <c r="C23" s="607"/>
      <c r="D23" s="607"/>
      <c r="E23" s="608"/>
      <c r="F23" s="291"/>
      <c r="G23" s="291"/>
      <c r="H23" s="291"/>
      <c r="I23" s="291"/>
      <c r="J23" s="291"/>
      <c r="K23" s="291"/>
      <c r="L23" s="291"/>
      <c r="M23" s="291"/>
      <c r="N23" s="291"/>
      <c r="O23" s="291"/>
      <c r="P23" s="291"/>
      <c r="Q23" s="291"/>
      <c r="R23" s="291"/>
    </row>
    <row r="24" spans="1:18" ht="24.6" customHeight="1" x14ac:dyDescent="0.3">
      <c r="B24" s="594" t="str">
        <f>template_label_6_the_undertaking_may_also_upload_the_report_to_public_repositories_or_a_webpage</f>
        <v>6. L'entreprise peut aussi télécharger le rapport dans des registres publics en ligne ou sur une page web</v>
      </c>
      <c r="C24" s="595"/>
      <c r="D24" s="595"/>
      <c r="E24" s="596"/>
      <c r="F24" s="291"/>
      <c r="G24" s="291"/>
      <c r="H24" s="291"/>
      <c r="I24" s="291"/>
      <c r="J24" s="291"/>
      <c r="K24" s="291"/>
      <c r="L24" s="291"/>
      <c r="M24" s="291"/>
      <c r="N24" s="291"/>
      <c r="O24" s="291"/>
      <c r="P24" s="291"/>
      <c r="Q24" s="291"/>
      <c r="R24" s="291"/>
    </row>
    <row r="25" spans="1:18" ht="18" x14ac:dyDescent="0.35">
      <c r="B25" s="289"/>
      <c r="C25" s="289"/>
      <c r="D25" s="289"/>
      <c r="E25" s="289"/>
      <c r="F25" s="289"/>
      <c r="G25" s="289"/>
      <c r="H25" s="289"/>
      <c r="I25" s="289"/>
      <c r="J25" s="289"/>
      <c r="K25" s="289"/>
      <c r="L25" s="289"/>
      <c r="M25" s="289"/>
      <c r="N25" s="289"/>
      <c r="O25" s="289"/>
      <c r="P25" s="289"/>
      <c r="Q25" s="289"/>
      <c r="R25" s="289"/>
    </row>
    <row r="26" spans="1:18" ht="36" customHeight="1" x14ac:dyDescent="0.35">
      <c r="B26" s="609" t="str">
        <f>template_label_cell_background_color_index</f>
        <v>Légende couleur des cellules :</v>
      </c>
      <c r="C26" s="610"/>
      <c r="D26" s="610"/>
      <c r="E26" s="611"/>
      <c r="F26" s="289"/>
      <c r="G26" s="289"/>
      <c r="H26" s="289"/>
      <c r="I26" s="289"/>
      <c r="J26" s="289"/>
      <c r="K26" s="289"/>
      <c r="L26" s="289"/>
      <c r="M26" s="289"/>
      <c r="N26" s="289"/>
      <c r="O26" s="289"/>
      <c r="P26" s="289"/>
      <c r="Q26" s="289"/>
      <c r="R26" s="289"/>
    </row>
    <row r="27" spans="1:18" ht="32.1" customHeight="1" x14ac:dyDescent="0.35">
      <c r="B27" s="293" t="str">
        <f>template_label_general_principles</f>
        <v>Principes généraux</v>
      </c>
      <c r="C27" s="591" t="str">
        <f>template_label_indicates_that_the_disclosure_is_from_the_general_principles_of_the_vsme</f>
        <v>Indique que la divulgation relève des principes généraux de VSME</v>
      </c>
      <c r="D27" s="592"/>
      <c r="E27" s="593"/>
      <c r="F27" s="289"/>
      <c r="G27" s="289"/>
      <c r="H27" s="289"/>
      <c r="I27" s="289"/>
      <c r="J27" s="289"/>
      <c r="K27" s="289"/>
      <c r="L27" s="289"/>
      <c r="M27" s="289"/>
      <c r="N27" s="289"/>
      <c r="O27" s="289"/>
      <c r="P27" s="289"/>
      <c r="Q27" s="289"/>
      <c r="R27" s="289"/>
    </row>
    <row r="28" spans="1:18" ht="34.5" customHeight="1" x14ac:dyDescent="0.35">
      <c r="A28" s="294"/>
      <c r="B28" s="295" t="str">
        <f>template_label_basic_module</f>
        <v>Indique que la divulgation provient du module de base VSME.</v>
      </c>
      <c r="C28" s="591" t="str">
        <f>template_label_indicates_that_the_disclosure_is_from_the_vsme_basic_module</f>
        <v>Module complet</v>
      </c>
      <c r="D28" s="592"/>
      <c r="E28" s="593"/>
      <c r="F28" s="289"/>
      <c r="G28" s="296"/>
      <c r="H28" s="296"/>
      <c r="I28" s="296"/>
      <c r="J28" s="296"/>
      <c r="K28" s="296"/>
      <c r="L28" s="296"/>
      <c r="M28" s="296"/>
      <c r="N28" s="296"/>
      <c r="O28" s="296"/>
      <c r="P28" s="296"/>
      <c r="Q28" s="296"/>
      <c r="R28" s="296"/>
    </row>
    <row r="29" spans="1:18" ht="35.700000000000003" customHeight="1" x14ac:dyDescent="0.35">
      <c r="A29" s="294"/>
      <c r="B29" s="297" t="str">
        <f>template_label_comprehensive_module</f>
        <v>Indique que la divulgation provient du module complet VSME.</v>
      </c>
      <c r="C29" s="591" t="str">
        <f>template_label_indicates_that_the_disclosure_is_from_the_vsme_comprehensive_module</f>
        <v>Indique que la cellule est calculée automatiquement et qu’aucune saisie de données n’est requise.</v>
      </c>
      <c r="D29" s="592"/>
      <c r="E29" s="593"/>
      <c r="F29" s="426"/>
      <c r="G29" s="296"/>
      <c r="H29" s="296"/>
      <c r="I29" s="296"/>
      <c r="J29" s="296"/>
      <c r="K29" s="296"/>
      <c r="L29" s="296"/>
      <c r="M29" s="296"/>
      <c r="N29" s="296"/>
      <c r="O29" s="296"/>
      <c r="P29" s="296"/>
      <c r="Q29" s="296"/>
      <c r="R29" s="296"/>
    </row>
    <row r="30" spans="1:18" ht="35.85" customHeight="1" x14ac:dyDescent="0.35">
      <c r="A30" s="294"/>
      <c r="B30" s="298"/>
      <c r="C30" s="588" t="str">
        <f>template_label_indicates_that_the_cell_is_automatically_calculated_and_that_no_data_entry_is_required</f>
        <v>Indique que la cellule est calculée automatiquement et qu’aucune saisie de données n’est requise.</v>
      </c>
      <c r="D30" s="589"/>
      <c r="E30" s="590"/>
      <c r="F30" s="289"/>
      <c r="G30" s="299"/>
      <c r="H30" s="299"/>
      <c r="I30" s="299"/>
      <c r="J30" s="299"/>
      <c r="K30" s="299"/>
      <c r="L30" s="299"/>
      <c r="M30" s="299"/>
      <c r="N30" s="299"/>
      <c r="O30" s="299"/>
      <c r="P30" s="299"/>
      <c r="Q30" s="299"/>
      <c r="R30" s="299"/>
    </row>
    <row r="31" spans="1:18" ht="63" customHeight="1" x14ac:dyDescent="0.35">
      <c r="A31" s="294"/>
      <c r="B31" s="300"/>
      <c r="C31" s="588" t="str">
        <f>template_label_indicates_that_the_datapoint_often_a_condition_will_not_be_included_in_the_vsme_and_digital_xbrl_report</f>
        <v>Indique que le point de donnée (souvent une condition) ne sera pas inclus dans le rapport VSME ni dans le rapport numérique XBRL. Ces cellules servent à faciliter la saisie des informations dans la mesure où elles déclenchent l'applicabilité de la divulgation ou permettent le calcul automatique des informations. Si les cellules jaunes ne sont pas utilisées pour calculer une valeur, le total à reporter peut être saisi manuellement, en remplaçant la formule existante.</v>
      </c>
      <c r="D31" s="589"/>
      <c r="E31" s="590"/>
      <c r="F31" s="289"/>
      <c r="G31" s="299"/>
      <c r="H31" s="299"/>
      <c r="I31" s="299"/>
      <c r="J31" s="299"/>
      <c r="K31" s="299"/>
      <c r="L31" s="299"/>
      <c r="M31" s="299"/>
      <c r="N31" s="299"/>
      <c r="O31" s="299"/>
      <c r="P31" s="299"/>
      <c r="Q31" s="299"/>
      <c r="R31" s="299"/>
    </row>
    <row r="32" spans="1:18" ht="35.85" customHeight="1" x14ac:dyDescent="0.35">
      <c r="A32" s="294"/>
      <c r="B32" s="301"/>
      <c r="C32" s="588" t="str">
        <f>template_label_indicates_that_no_data_entry_is_required_unless_certain_logics_are_selected_in_the_disclosure_itself</f>
        <v xml:space="preserve">Indique qu'aucune donnée n'est à saisir à moins que certains éléments soient sélectionnés dans l'information elle-même. Dans ce cas, la cellule deviendra blanche. </v>
      </c>
      <c r="D32" s="589"/>
      <c r="E32" s="590"/>
      <c r="F32" s="289"/>
      <c r="G32" s="299"/>
      <c r="H32" s="299"/>
      <c r="I32" s="299"/>
      <c r="J32" s="299"/>
      <c r="K32" s="299"/>
      <c r="L32" s="299"/>
      <c r="M32" s="299"/>
      <c r="N32" s="299"/>
      <c r="O32" s="299"/>
      <c r="P32" s="299"/>
      <c r="Q32" s="299"/>
      <c r="R32" s="299"/>
    </row>
    <row r="33" spans="1:18" ht="42" x14ac:dyDescent="0.35">
      <c r="B33" s="302" t="str">
        <f>template_label_validation_missing_value_error_velue_inconsistency_invalid_url</f>
        <v>Validation VALEUR MANQUANTE/ERREUR/VALEUR INCOHERENTE/URL NON VALIDE</v>
      </c>
      <c r="C33" s="591" t="str">
        <f>template_label_indicates_that_either_data_entry_is_incorrect_in_terms_of_format_or_that_certain_information</f>
        <v>Indique soit que les données sont saisies dans un format incorrect, soit que certaines informations manquent pour pouvoir correctement remplir les exigences de publication.</v>
      </c>
      <c r="D33" s="592"/>
      <c r="E33" s="593"/>
      <c r="F33" s="289"/>
      <c r="G33" s="296"/>
      <c r="H33" s="296"/>
      <c r="I33" s="296"/>
      <c r="J33" s="296"/>
      <c r="K33" s="296"/>
      <c r="L33" s="296"/>
      <c r="M33" s="296"/>
      <c r="N33" s="296"/>
      <c r="O33" s="296"/>
      <c r="P33" s="296"/>
      <c r="Q33" s="296"/>
      <c r="R33" s="296"/>
    </row>
    <row r="34" spans="1:18" ht="22.35" customHeight="1" x14ac:dyDescent="0.35">
      <c r="B34" s="303" t="s">
        <v>4</v>
      </c>
      <c r="C34" s="591" t="str">
        <f>template_label_indicates_that_data_entry_is_ok_and_the_undertaking_can_proceed_to_the_next_disclosure</f>
        <v>Indique que la saisie des données est OK et que l'entreprise peut passer à la divulgation suivante.</v>
      </c>
      <c r="D34" s="592"/>
      <c r="E34" s="593"/>
      <c r="F34" s="289"/>
      <c r="G34" s="296"/>
      <c r="H34" s="296"/>
      <c r="I34" s="296"/>
      <c r="J34" s="296"/>
      <c r="K34" s="296"/>
      <c r="L34" s="296"/>
      <c r="M34" s="296"/>
      <c r="N34" s="296"/>
      <c r="O34" s="296"/>
      <c r="P34" s="296"/>
      <c r="Q34" s="296"/>
      <c r="R34" s="296"/>
    </row>
    <row r="35" spans="1:18" ht="22.35" customHeight="1" x14ac:dyDescent="0.35">
      <c r="B35" s="425" t="str">
        <f>template_label_validation_classified_or_sensitive_information</f>
        <v>Validation INFORMATIONS CLASSIFIÉES OU SENSIBLES</v>
      </c>
      <c r="C35" s="591" t="str">
        <f>template_label_indicates_that_the_undertaking_has_omitted_the_data_entry_as_it_is_deemed_to_be_classified_or_sensitive_information</f>
        <v>Indique que l’engagement a omis la saisie de données car elle est considérée comme classifiée ou sensible.</v>
      </c>
      <c r="D35" s="592"/>
      <c r="E35" s="593"/>
      <c r="F35" s="289"/>
      <c r="G35" s="296"/>
      <c r="H35" s="296"/>
      <c r="I35" s="296"/>
      <c r="J35" s="296"/>
      <c r="K35" s="296"/>
      <c r="L35" s="296"/>
      <c r="M35" s="296"/>
      <c r="N35" s="296"/>
      <c r="O35" s="296"/>
      <c r="P35" s="296"/>
      <c r="Q35" s="296"/>
      <c r="R35" s="296"/>
    </row>
    <row r="36" spans="1:18" ht="22.35" customHeight="1" x14ac:dyDescent="0.35">
      <c r="B36" s="304"/>
      <c r="C36" s="591" t="str">
        <f>template_label_no_value_can_be_entered_in_the_cell</f>
        <v>Aucune valeur ne peut être saisie dans la cellule.</v>
      </c>
      <c r="D36" s="592"/>
      <c r="E36" s="593"/>
      <c r="F36" s="289"/>
      <c r="G36" s="296"/>
      <c r="H36" s="296"/>
      <c r="I36" s="296"/>
      <c r="J36" s="296"/>
      <c r="K36" s="296"/>
      <c r="L36" s="296"/>
      <c r="M36" s="296"/>
      <c r="N36" s="296"/>
      <c r="O36" s="296"/>
      <c r="P36" s="296"/>
      <c r="Q36" s="296"/>
      <c r="R36" s="296"/>
    </row>
    <row r="37" spans="1:18" ht="45.75" customHeight="1" x14ac:dyDescent="0.35">
      <c r="A37" s="294"/>
      <c r="B37" s="305" t="s">
        <v>5</v>
      </c>
      <c r="C37" s="588" t="str">
        <f>template_label_lists_can_be_expanded_using_the_plus_button_on_the_left</f>
        <v>Les listes peuvent être déroulées à l’aide du bouton plus [+] situé à gauche. Si le nombre de lignes n’est pas suffisant, des lignes supplémentaires peuvent être ajoutées en cliquant avec le bouton droit sur la deuxième ligne et en sélectionnant « Insérer une ligne ».</v>
      </c>
      <c r="D37" s="589"/>
      <c r="E37" s="590"/>
      <c r="F37" s="289"/>
      <c r="G37" s="306"/>
      <c r="H37" s="306"/>
      <c r="I37" s="306"/>
      <c r="J37" s="306"/>
      <c r="K37" s="306"/>
      <c r="L37" s="306"/>
      <c r="M37" s="306"/>
      <c r="N37" s="306"/>
      <c r="O37" s="306"/>
      <c r="P37" s="306"/>
      <c r="Q37" s="306"/>
      <c r="R37" s="306"/>
    </row>
    <row r="42" spans="1:18" x14ac:dyDescent="0.3">
      <c r="B42" s="603"/>
      <c r="C42" s="604"/>
      <c r="D42" s="604"/>
      <c r="E42" s="605"/>
    </row>
    <row r="43" spans="1:18" ht="97.2" customHeight="1" x14ac:dyDescent="0.4">
      <c r="B43" s="597" t="str">
        <f>template_label_efrag_is_funded_by_the_european_union_through_the_single_market_programme</f>
        <v xml:space="preserve">L'EFRAG est financée par l'Union européenne dans le cadre du Programme pour le marché unique, auquel participent également les pays de l'EEE-AELE (Norvège, Islande et Liechtenstein), ainsi que le Kosovo. Les opinions et points de vue exprimés sont toutefois ceux de l’auteur ou des auteurs uniquement et ne reflètent pas nécessairement ceux de l'Union européenne, de la Commission européenne ou des pays participant au Programme pour le marché unique. Ni l'Union européenne, ni la Commission européenne, ni les pays participants au Programme pour le marché unique ne peuvent en être tenus responsables. © 2025 EFRAG – Tous droits réservés.
</v>
      </c>
      <c r="C43" s="598"/>
      <c r="D43" s="598"/>
      <c r="E43" s="599"/>
    </row>
    <row r="44" spans="1:18" ht="21" x14ac:dyDescent="0.4">
      <c r="B44" s="600" t="str">
        <f>template_label_reproduction_and_use_rights_are_strictly_limited</f>
        <v>Les droits de reproduction et d'utilisation sont strictement limités. Pour plus de détails, veuillez contacter efragsecretariat@efrag.org</v>
      </c>
      <c r="C44" s="601"/>
      <c r="D44" s="601"/>
      <c r="E44" s="602"/>
    </row>
  </sheetData>
  <sheetProtection algorithmName="SHA-512" hashValue="Xt+YXK6PE/P7lhuFFbIF8qAwGUbvQ4RqQUU674beTP+Os9DkpRu1ULA/ZdquAyxOdqomGRkB7rQ+d967hlS2HQ==" saltValue="UapEwf5vbcAAVXlO21ZNqA==" spinCount="100000" sheet="1" formatColumns="0" formatRows="0"/>
  <mergeCells count="24">
    <mergeCell ref="B43:E43"/>
    <mergeCell ref="B44:E44"/>
    <mergeCell ref="B42:E42"/>
    <mergeCell ref="B19:E19"/>
    <mergeCell ref="B20:E20"/>
    <mergeCell ref="B21:E21"/>
    <mergeCell ref="B22:E22"/>
    <mergeCell ref="B23:E23"/>
    <mergeCell ref="C31:E31"/>
    <mergeCell ref="C30:E30"/>
    <mergeCell ref="C27:E27"/>
    <mergeCell ref="C28:E28"/>
    <mergeCell ref="C29:E29"/>
    <mergeCell ref="C35:E35"/>
    <mergeCell ref="B26:E26"/>
    <mergeCell ref="B3:C3"/>
    <mergeCell ref="B14:E14"/>
    <mergeCell ref="B18:E18"/>
    <mergeCell ref="C32:E32"/>
    <mergeCell ref="C37:E37"/>
    <mergeCell ref="C36:E36"/>
    <mergeCell ref="C34:E34"/>
    <mergeCell ref="C33:E33"/>
    <mergeCell ref="B24:E24"/>
  </mergeCells>
  <phoneticPr fontId="3" type="noConversion"/>
  <hyperlinks>
    <hyperlink ref="C10" r:id="rId1" xr:uid="{BA49B7BA-5C2F-4722-8E1F-D5D51385FABF}"/>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04F5-C921-4BA0-AB27-BE7B509778F1}">
  <sheetPr codeName="Sheet4"/>
  <dimension ref="B1:E70"/>
  <sheetViews>
    <sheetView zoomScaleNormal="100" workbookViewId="0"/>
  </sheetViews>
  <sheetFormatPr baseColWidth="10" defaultColWidth="8.88671875" defaultRowHeight="14.4" x14ac:dyDescent="0.3"/>
  <cols>
    <col min="1" max="1" width="3.6640625" style="10" customWidth="1"/>
    <col min="2" max="2" width="98.109375" style="10" customWidth="1"/>
    <col min="3" max="3" width="55.6640625" style="10" bestFit="1" customWidth="1"/>
    <col min="4" max="4" width="51.33203125" style="10" customWidth="1"/>
    <col min="5" max="5" width="64.33203125" style="10" customWidth="1"/>
    <col min="6" max="6" width="35.6640625" style="10" bestFit="1" customWidth="1"/>
    <col min="7" max="16384" width="8.88671875" style="10"/>
  </cols>
  <sheetData>
    <row r="1" spans="2:5" ht="15" thickBot="1" x14ac:dyDescent="0.35"/>
    <row r="2" spans="2:5" ht="78" customHeight="1" x14ac:dyDescent="0.3">
      <c r="B2" s="478" t="str">
        <f>template_label_table_of_contents_validation</f>
        <v>Table des matières</v>
      </c>
      <c r="C2" s="479" t="str">
        <f>template_label_overall_validation_status_validation</f>
        <v xml:space="preserve">Statut global de validation
</v>
      </c>
      <c r="D2" s="480" t="str">
        <f>template_classified_or_sensitive_information</f>
        <v>Informations classifiées ou sensibles</v>
      </c>
    </row>
    <row r="3" spans="2:5" ht="43.2" customHeight="1" x14ac:dyDescent="0.3">
      <c r="B3" s="614" t="str">
        <f>template_label_contents_grouping_follows_templates_framework</f>
        <v>Le regroupement des contenus suit le cadre du format</v>
      </c>
      <c r="C3" s="436" t="str" cm="1">
        <f t="array" ref="C3">IF(SUMPRODUCT(--((C5:C70&lt;&gt;template_label_ok)*(C5:C70&lt;&gt;"-")*(C5:C70&lt;&gt;"")*(C5:C70&lt;&gt;template_label_classified_or_sensitive_information))) &gt; 0, template_label_incomplete, template_label_complete)</f>
        <v>INCOMPLET</v>
      </c>
      <c r="D3" s="612" t="str">
        <f>template_filling_sensitive_checkboxes</f>
        <v>Remplir les cases ci-dessous remplira automatiquement la liste des divulgations omises dans B1 (de la ligne 123 à la 172 dans la fiche d’information générale)</v>
      </c>
    </row>
    <row r="4" spans="2:5" ht="23.4" x14ac:dyDescent="0.3">
      <c r="B4" s="615"/>
      <c r="C4" s="477" t="str">
        <f>template_label_specific_content_validation_status_validation</f>
        <v>Statut de validation du contenu spécifique</v>
      </c>
      <c r="D4" s="613"/>
    </row>
    <row r="5" spans="2:5" ht="14.4" customHeight="1" x14ac:dyDescent="0.35">
      <c r="B5" s="428" t="str">
        <f>template_label_general_information_validation</f>
        <v>Informations générales</v>
      </c>
      <c r="C5" s="417"/>
      <c r="D5" s="414"/>
    </row>
    <row r="6" spans="2:5" ht="14.4" customHeight="1" x14ac:dyDescent="0.35">
      <c r="B6" s="338" t="str">
        <f>template_label_information_on_the_report_necessary_for_xbrl_validation</f>
        <v>Informations sur le rapport nécessaires pour XBRL</v>
      </c>
      <c r="C6" s="433" t="str">
        <f>IF(
    AND(
        COUNTIF('General Information'!F3:F12, template_label_missing_value) &gt; 0,
        COUNTIF('General Information'!F3:F12, template_label_error) = 0
    ),
    template_label_missing_value,
    IF(
        AND(
            COUNTIF('General Information'!F3:F12, template_label_error) &gt; 0,
            COUNTIF('General Information'!F3:F12, template_label_missing_value) = 0
        ),
        template_label_value_inconsistency,
        IF(
            AND(
                COUNTIF('General Information'!F3:F12, template_label_error) &gt; 0,
                COUNTIF('General Information'!F3:F12, template_label_missing_value) &gt; 0
            ),
            template_label_error_plus_value_inconsistency,
            template_label_ok
        )
    )
)</f>
        <v>VALEUR MANQUANTE</v>
      </c>
      <c r="D6" s="415"/>
    </row>
    <row r="7" spans="2:5" x14ac:dyDescent="0.3">
      <c r="B7" s="338" t="str">
        <f>template_label_introduction &amp; ": " &amp; template_label_disclosure_of_any_other_general_and_or_entity_specific_information_on_the_reporting_period</f>
        <v>Introduction: publication de toute autre information générale et/ou spécifique à l’entité</v>
      </c>
      <c r="C7" s="433" t="str">
        <f>IF(D7=TRUE, template_label_classified_or_sensitive_information,
IF('General Information'!F17 = template_label_ok, template_label_ok, "-")
)</f>
        <v>-</v>
      </c>
      <c r="D7" s="439" t="b">
        <v>0</v>
      </c>
      <c r="E7" s="496" t="str">
        <f>IF(AND(C7=template_label_classified_or_sensitive_information,COUNTIF(DisclosureOfAnyOtherGeneralAndOrEntitySpecificInformation,"&lt;&gt;")&gt;0),template_label_information_on_sensitive_information_before_converting,"")</f>
        <v/>
      </c>
    </row>
    <row r="8" spans="2:5" ht="14.4" customHeight="1" thickBot="1" x14ac:dyDescent="0.4">
      <c r="B8" s="338" t="str">
        <f>template_label_information_on_previous_reporting_period_validation</f>
        <v>Informations sur la période de reporting précédente</v>
      </c>
      <c r="C8" s="433" t="str">
        <f>IF(COUNTIF('General Information'!F21:F122, template_label_missing_value) &gt; 0, template_label_missing_value,
IF(COUNTIF('General Information'!F21:F122, template_label_invalid_url
 ) &gt; 0, template_label_invalid_url,
IF(COUNTIF('General Information'!F21:F122, template_label_value_inconsistency
 ) &gt; 0, template_label_value_inconsistency,
IF(COUNTIF('General Information'!F21:F122, template_label_ok) &gt; 0, template_label_ok, "-"))))</f>
        <v>-</v>
      </c>
      <c r="D8" s="415"/>
    </row>
    <row r="9" spans="2:5" ht="18" x14ac:dyDescent="0.35">
      <c r="B9" s="377" t="str">
        <f>template_label_basic_module_validation</f>
        <v>Module de base</v>
      </c>
      <c r="C9" s="434"/>
      <c r="D9" s="416"/>
    </row>
    <row r="10" spans="2:5" ht="14.7" customHeight="1" x14ac:dyDescent="0.3">
      <c r="B10" s="428" t="str">
        <f>template_label_general_information_validation</f>
        <v>Informations générales</v>
      </c>
      <c r="C10" s="417"/>
      <c r="D10" s="417"/>
      <c r="E10" s="481"/>
    </row>
    <row r="11" spans="2:5" s="492" customFormat="1" x14ac:dyDescent="0.3">
      <c r="B11" s="490" t="str">
        <f>template_label_b1_basis_for_preparation_validation</f>
        <v>B1 – Base de préparation</v>
      </c>
      <c r="C11" s="435" t="str">
        <f>IF(D11=TRUE,template_label_classified_or_sensitive_information,
IF(COUNTIF(C12:C16,template_label_error_plus_missing_value_plus_value_inconsistency)&gt;0,template_label_error_plus_missing_value_plus_value_inconsistency,
IF(COUNTIF(C12:C16,template_label_error_plus_value_inconsistency)&gt;0,template_label_error_plus_value_inconsistency,
IF(COUNTIF(C12:C16,template_label_error_plus_missing_value)&gt;0,template_label_error_plus_missing_value,
IF(COUNTIF(C12:C16,template_label_error)&gt;0,template_label_error,
IF(COUNTIF(C12:C16,template_label_missing_value_plus_value_inconsistency)&gt;0,template_label_missing_value_plus_value_inconsistency,
IF(COUNTIF(C12:C16,template_label_value_inconsistency)&gt;0,template_label_value_inconsistency,
IF(COUNTIF(C12:C16,template_label_missing_value)&gt;0,template_label_missing_value,
IF(COUNTIF(C12:C16,template_label_ok)=ROWS(C12:C16),template_label_ok,
IF(COUNTIF(C12:C16,"-")=ROWS(C12:C16),"-",
IF(AND(COUNTIF(C12:C16,template_label_ok)&gt;0, COUNTIF(C12:C16,template_label_error_plus_missing_value_plus_value_inconsistency)=0, COUNTIF(C12:C16,template_label_error_plus_value_inconsistency)=0, COUNTIF(C12:C16,template_label_error_plus_missing_value)=0, COUNTIF(C12:C16,template_label_error)=0, COUNTIF(C12:C16,template_label_missing_value_plus_value_inconsistency)=0, COUNTIF(C12:C16,template_label_value_inconsistency)=0, COUNTIF(C12:C16,template_label_missing_value)=0, OR(COUNTIF(C12:C16,template_label_missing_value)=0, COUNTIF(C12:C16,template_label_missing_value)&gt;0)), template_label_ok,
"-")))))))))
))</f>
        <v>VALEUR MANQUANTE</v>
      </c>
      <c r="D11" s="493" t="b">
        <f>IF(COUNTIF(D13:D16,TRUE)=ROWS(D13:D16),TRUE,FALSE)</f>
        <v>0</v>
      </c>
      <c r="E11" s="481"/>
    </row>
    <row r="12" spans="2:5" x14ac:dyDescent="0.3">
      <c r="B12" s="487" t="str">
        <f>template_label_b1_basis_for_preparation</f>
        <v>B1 - Base de préparation &amp; Module</v>
      </c>
      <c r="C12" s="433" t="str">
        <f>IF(COUNTIF('General Information'!F125,template_label_missing_value)&gt;0,template_label_missing_value,
IF(COUNTIF('General Information'!F125,template_label_ok)&gt;0,template_label_ok,"-"))</f>
        <v>VALEUR MANQUANTE</v>
      </c>
      <c r="D12" s="483"/>
      <c r="E12" s="481"/>
    </row>
    <row r="13" spans="2:5" x14ac:dyDescent="0.3">
      <c r="B13" s="488" t="str">
        <f>template_label_b1_other_undertakings_general_information</f>
        <v>B1 - Autres informations générales de l'entreprise</v>
      </c>
      <c r="C13" s="433" t="str">
        <f>IF(D13=TRUE, template_label_classified_or_sensitive_information,IF(
AND(
COUNTIF('General Information'!F179:F287,template_label_missing_value)&gt;0,
COUNTIF('General Information'!F179:F287,template_label_value_inconsistency)=0,
COUNTIF('General Information'!F179:F287,template_label_error)=0
),
template_label_missing_value,
IF(
AND(
COUNTIF('General Information'!F179:F287,template_label_value_inconsistency)&gt;0,
COUNTIF('General Information'!F179:F287,template_label_missing_value)=0,
COUNTIF('General Information'!F179:F287,template_label_error)=0
),
template_label_value_inconsistency,
IF(
AND(
COUNTIF('General Information'!F179:F287,template_label_value_inconsistency)=0,
COUNTIF('General Information'!F179:F287,template_label_missing_value)=0,
COUNTIF('General Information'!F179:F287,template_label_error)&gt;0
),
template_label_error,
IF(
AND(
COUNTIF('General Information'!F179:F287,template_label_value_inconsistency)&gt;0,
COUNTIF('General Information'!F179:F287,template_label_missing_value)&gt;0,
COUNTIF('General Information'!F179:F287,template_label_error)=0
),
template_label_missing_value_plus_value_inconsistency,
IF(
AND(
COUNTIF('General Information'!F179:F287,template_label_value_inconsistency)=0,
COUNTIF('General Information'!F179:F287,template_label_missing_value)&gt;0,
COUNTIF('General Information'!F179:F287,template_label_error)&gt;0
),
template_label_error_plus_missing_value,
IF(
AND(
COUNTIF('General Information'!F179:F287,template_label_value_inconsistency)&gt;0,
COUNTIF('General Information'!F179:F287,template_label_missing_value)=0,
COUNTIF('General Information'!F179:F287,template_label_error)&gt;0
),
template_label_error_plus_value_inconsistency,
IF(
AND(
COUNTIF('General Information'!F179:F287,template_label_value_inconsistency)&gt;0,
COUNTIF('General Information'!F179:F287,template_label_missing_value)&gt;0,
COUNTIF('General Information'!F179:F287,template_label_error)&gt;0
),
template_label_error_plus_missing_value_plus_value_inconsistency,
IF(
AND(
COUNTIF('General Information'!F179:F287,template_label_value_inconsistency)=0,
COUNTIF('General Information'!F179:F287,template_label_missing_value)=0,
COUNTIF('General Information'!F179:F287,template_label_error)=0,
COUNTIF('General Information'!F179:F287,template_label_ok)&gt;0
),
template_label_ok,
"-"
)))))))))</f>
        <v>-</v>
      </c>
      <c r="D13" s="485" t="b">
        <v>0</v>
      </c>
      <c r="E13" s="495" t="str">
        <f>IF(AND(C13=template_label_classified_or_sensitive_information,COUNTIF('General Information'!E179:E287,"&lt;&gt;")&gt;0),template_label_information_on_sensitive_information_before_converting,"")</f>
        <v/>
      </c>
    </row>
    <row r="14" spans="2:5" x14ac:dyDescent="0.3">
      <c r="B14" s="489" t="str">
        <f>template_label_b1_list_of_subsidiaries</f>
        <v>B1 - Liste des filiales</v>
      </c>
      <c r="C14" s="435" t="str">
        <f>IF(D14=TRUE, template_label_classified_or_sensitive_information,
IF(
    COUNTIF('General Information'!F292:F391, template_label_missing_value) &gt; 0,
    template_label_missing_value,
    IF(
        COUNTIF('General Information'!F292:F391, template_label_ok) &gt; 0,
        template_label_ok,
        "-"
    )
)
)</f>
        <v>-</v>
      </c>
      <c r="D14" s="486" t="b">
        <v>0</v>
      </c>
      <c r="E14" s="496" t="str">
        <f>IF(AND(C14=template_label_classified_or_sensitive_information,COUNTIF('General Information'!D406:G505,"&lt;&gt;")&gt;0),template_label_information_on_sensitive_information_before_converting,"")</f>
        <v/>
      </c>
    </row>
    <row r="15" spans="2:5" x14ac:dyDescent="0.3">
      <c r="B15" s="489" t="str">
        <f>template_label_b1_disclosure_of_sustainability_related_certification_or_label</f>
        <v>B1 - Publication de la ou des certification(s) ou label(s) liés à la durabilité</v>
      </c>
      <c r="C15" s="433" t="str">
        <f>IF(D15=TRUE, template_label_classified_or_sensitive_information,
IF(
    COUNTIF('General Information'!I397, template_label_missing_value) &gt; 0,
    template_label_missing_value,
    IF(
        COUNTIF('General Information'!I397, template_label_ok) &gt; 0,
        template_label_ok,
        "-"
    )
)
)</f>
        <v>-</v>
      </c>
      <c r="D15" s="486" t="b">
        <v>0</v>
      </c>
      <c r="E15" s="496" t="str">
        <f>IF(AND(C15=template_label_classified_or_sensitive_information,'General Information'!E396=TRUE),template_label_information_on_sensitive_information_before_converting,"")</f>
        <v/>
      </c>
    </row>
    <row r="16" spans="2:5" x14ac:dyDescent="0.3">
      <c r="B16" s="489" t="str">
        <f>template_label_b1_list_of_site</f>
        <v>B1 - Liste des site(s)</v>
      </c>
      <c r="C16" s="433" t="str">
        <f>IF(D16=TRUE, template_label_classified_or_sensitive_information,
IF(
    COUNTIF('General Information'!I406:I505, template_label_missing_value) &gt; 0,
    template_label_missing_value,
    IF(
        COUNTIF('General Information'!I406:I505, template_label_ok) &gt; 0,
        template_label_ok,
        "-"
    )
)
)</f>
        <v>-</v>
      </c>
      <c r="D16" s="486" t="b">
        <v>0</v>
      </c>
      <c r="E16" s="496" t="str">
        <f>IF(AND(C16=template_label_classified_or_sensitive_information,COUNTIF('General Information'!D406:G505,"&lt;&gt;")&gt;0),template_label_information_on_sensitive_information_before_converting,"")</f>
        <v/>
      </c>
    </row>
    <row r="17" spans="2:5" x14ac:dyDescent="0.3">
      <c r="B17" s="498" t="str">
        <f>template_label_b2_practices_policies_and_future_initiatives_for_transitioning_towards_a_more_sustainable_economy</f>
        <v>B2 – Pratiques, politiques et initiatives futures en vue de la transition vers une économie plus durable</v>
      </c>
      <c r="C17" s="433" t="str">
        <f>IF(D17=TRUE, template_label_classified_or_sensitive_information,
IF(
    COUNTIF('General Information'!P512, template_label_missing_value) &gt; 0,
    template_label_missing_value,
    IF(
        COUNTIF('General Information'!P512, template_label_ok) &gt; 0,
        template_label_ok,
        "-"
    )
)
)</f>
        <v>-</v>
      </c>
      <c r="D17" s="486" t="b">
        <v>0</v>
      </c>
      <c r="E17" s="496" t="str">
        <f>IF(AND(C17=template_label_classified_or_sensitive_information,'General Information'!C512=TRUE),template_label_information_on_sensitive_information_before_converting,"")</f>
        <v/>
      </c>
    </row>
    <row r="18" spans="2:5" x14ac:dyDescent="0.3">
      <c r="B18" s="484" t="str">
        <f>template_label_b2_cooperative_specific_disclosures</f>
        <v>B2 - Divulgations propres aux coopératives</v>
      </c>
      <c r="C18" s="433" t="str" cm="1">
        <f t="array" ref="C18">IF(D18=TRUE, template_label_classified_or_sensitive_information,
IF(OR('General Information'!E516:E518=template_label_ok),template_label_ok,"-")
)</f>
        <v>-</v>
      </c>
      <c r="D18" s="486" t="b">
        <v>0</v>
      </c>
      <c r="E18" s="496" t="str">
        <f>IF(AND(C18=template_label_classified_or_sensitive_information,COUNTIF('General Information'!D516:D518,"&lt;&gt;")&gt;0),template_label_information_on_sensitive_information_before_converting,"")</f>
        <v/>
      </c>
    </row>
    <row r="19" spans="2:5" x14ac:dyDescent="0.3">
      <c r="B19" s="429" t="str">
        <f>template_label_environmental_disclosures_validation</f>
        <v>Informations environnementales</v>
      </c>
      <c r="C19" s="417"/>
      <c r="D19" s="417"/>
      <c r="E19" s="496"/>
    </row>
    <row r="20" spans="2:5" s="492" customFormat="1" x14ac:dyDescent="0.3">
      <c r="B20" s="490" t="str">
        <f>template_label_b3_energy_and_greenhouse_gas_emissions_validation</f>
        <v>B3 – Énergie et émissions de gaz à effet de serre</v>
      </c>
      <c r="C20" s="433" t="str">
        <f>IF(D20=TRUE,template_label_classified_or_sensitive_information,
IF(COUNTIF(C21:C24,template_label_error_plus_missing_value_plus_value_inconsistency)&gt;0,template_label_error_plus_missing_value_plus_value_inconsistency,
IF(COUNTIF(C21:C24,template_label_error_plus_value_inconsistency)&gt;0,template_label_error_plus_value_inconsistency,
IF(COUNTIF(C21:C24,template_label_error_plus_missing_value)&gt;0,template_label_error_plus_missing_value,
IF(COUNTIF(C21:C24,template_label_error)&gt;0,template_label_error,
IF(COUNTIF(C21:C24,template_label_missing_value_plus_value_inconsistency)&gt;0,template_label_missing_value_plus_value_inconsistency,
IF(COUNTIF(C21:C24,template_label_value_inconsistency)&gt;0,template_label_value_inconsistency,
IF(COUNTIF(C21:C24,template_label_missing_value)&gt;0,template_label_missing_value,
IF(COUNTIF(C21:C24,template_label_ok)=ROWS(C21:C24),template_label_ok,
IF(COUNTIF(C21:C24,"-")=ROWS(C21:C24),"-",
IF(AND(COUNTIF(C21:C24,template_label_ok)&gt;0, COUNTIF(C21:C24,template_label_error_plus_missing_value_plus_value_inconsistency)=0, COUNTIF(C21:C24,template_label_error_plus_value_inconsistency)=0, COUNTIF(C21:C24,template_label_error_plus_missing_value)=0, COUNTIF(C21:C24,template_label_error)=0, COUNTIF(C21:C24,template_label_missing_value_plus_value_inconsistency)=0, COUNTIF(C21:C24,template_label_value_inconsistency)=0, COUNTIF(C21:C24,template_label_missing_value)=0,OR(COUNTIF(C21:C24,template_label_missing_value)=0, COUNTIF(C21:C24,template_label_missing_value)&gt;0)), template_label_ok,
"-")))))))))
))</f>
        <v>-</v>
      </c>
      <c r="D20" s="491" t="b">
        <f>IF(COUNTIF(D21:D24,TRUE)=ROWS(D21:D24),TRUE,FALSE)</f>
        <v>0</v>
      </c>
      <c r="E20" s="496"/>
    </row>
    <row r="21" spans="2:5" x14ac:dyDescent="0.3">
      <c r="B21" s="484" t="str">
        <f>template_label_b3_total_energy_consumption</f>
        <v>B3 - Consommation totale d’énergie (en MWh)</v>
      </c>
      <c r="C21" s="433" t="str">
        <f>IF(D21=TRUE, template_label_classified_or_sensitive_information,
IF(COUNTIF('Environmental Disclosures'!L5,template_label_missing_value)&gt;0,template_label_missing_value,
IF(COUNTIF('Environmental Disclosures'!L5,template_label_ok)&gt;0,template_label_ok,"-"))
)</f>
        <v>-</v>
      </c>
      <c r="D21" s="486" t="b">
        <v>0</v>
      </c>
      <c r="E21" s="496" t="str">
        <f>IF(AND(C21=template_label_classified_or_sensitive_information,COUNTIF(TotalEnergyConsumption,"&lt;&gt;")&gt;0),template_label_information_on_sensitive_information_before_converting,"")</f>
        <v/>
      </c>
    </row>
    <row r="22" spans="2:5" x14ac:dyDescent="0.3">
      <c r="B22" s="427" t="str">
        <f>template_label_b3_breakdown_of_energy_consumption</f>
        <v>B3 - Ventilation de la consommation d'énergie (en MWh)</v>
      </c>
      <c r="C22" s="435" t="str">
        <f>IF(D22=TRUE,template_label_classified_or_sensitive_information,
IF(
AND(
COUNTIF('Environmental Disclosures'!L12:L14,template_label_missing_value)&gt;0,
COUNTIF('Environmental Disclosures'!L12:L14,template_label_value_inconsistency)=0
),
template_label_missing_value,
IF(
AND(
COUNTIF('Environmental Disclosures'!L12:L14,template_label_value_inconsistency)&gt;0,
COUNTIF('Environmental Disclosures'!L12:L14,template_label_missing_value)=0
),
template_label_value_inconsistency,
IF(
AND(
COUNTIF('Environmental Disclosures'!L12:L14,template_label_value_inconsistency)&gt;0,
COUNTIF('Environmental Disclosures'!L12:L14,template_label_missing_value)&gt;0
),
template_label_error_plus_value_inconsistency,
IF(
COUNTIF('Environmental Disclosures'!L12:L14,"-")=3,
"-",
IF(
COUNTIF('Environmental Disclosures'!L12:L14,template_label_ok)&gt;0,
template_label_ok,
"-"
)
))
))
)</f>
        <v>-</v>
      </c>
      <c r="D22" s="486" t="b">
        <v>0</v>
      </c>
      <c r="E22" s="496" t="str">
        <f>IF(AND(C22=template_label_classified_or_sensitive_information,'Environmental Disclosures'!G10=TRUE),template_label_information_on_sensitive_information_before_converting,"")</f>
        <v/>
      </c>
    </row>
    <row r="23" spans="2:5" ht="28.8" x14ac:dyDescent="0.3">
      <c r="B23" s="427" t="str">
        <f>template_label_b3_estimated_greenhouse_gas_emissions</f>
        <v>B3 - Estimations des émissions de gaz à effet de serre en prenant en considération la norme du protocole des GES relative aux entreprises (GHG Protocol) (version 2004) (en tCO₂e)</v>
      </c>
      <c r="C23" s="433" t="str">
        <f>IF(D23=TRUE, template_label_classified_or_sensitive_information,
IF(COUNTIF('Environmental Disclosures'!L21:L44,template_label_missing_value)&gt;0,template_label_missing_value,
IF(COUNTIF('Environmental Disclosures'!L21:L44,template_label_ok)&gt;0,template_label_ok,"-"))
)</f>
        <v>-</v>
      </c>
      <c r="D23" s="486" t="b">
        <v>0</v>
      </c>
      <c r="E23" s="496" t="str">
        <f>IF(AND(C23=template_label_classified_or_sensitive_information,COUNTIF('Environmental Disclosures'!D22:F24,"&lt;&gt;")&gt;0),template_label_information_on_sensitive_information_before_converting,"")</f>
        <v/>
      </c>
    </row>
    <row r="24" spans="2:5" x14ac:dyDescent="0.3">
      <c r="B24" s="427" t="str">
        <f>template_label_b3_greenhouse_gas_emission_intensity_per_turnover</f>
        <v>B3 - Intensité des émissions de gaz à effet de serre sur la base du chiffre d'affaires (en  tCO₂e)</v>
      </c>
      <c r="C24" s="435" t="str">
        <f>IF(D24=TRUE, template_label_classified_or_sensitive_information,
IF(C23=template_label_ok,template_label_ok,"-")
)</f>
        <v>-</v>
      </c>
      <c r="D24" s="486" t="b">
        <v>0</v>
      </c>
      <c r="E24" s="496" t="str">
        <f>IF(AND(C24=template_label_classified_or_sensitive_information,COUNTIF('Environmental Disclosures'!D22:F24,"&lt;&gt;")&gt;0,COUNTIF(Turnover,"&lt;&gt;")&gt;0),template_label_information_on_sensitive_information_before_converting,"")</f>
        <v/>
      </c>
    </row>
    <row r="25" spans="2:5" x14ac:dyDescent="0.3">
      <c r="B25" s="338" t="str">
        <f>template_label_b4_pollution_of_air_water_and_soil_validation</f>
        <v>B4 - Pollution de l’air, de l’eau et des sols</v>
      </c>
      <c r="C25" s="433" t="str">
        <f>IF(D25=TRUE, template_label_classified_or_sensitive_information,
IF(COUNTIF('Environmental Disclosures'!L75:L179,template_label_invalid_url)&gt;0,
   template_label_invalid_url,
IF(AND(COUNTIF('Environmental Disclosures'!L75:L179,template_label_missing_value)&gt;0,
       COUNTIF('Environmental Disclosures'!L75:L179,template_label_value_inconsistency)&gt;0),
   template_label_missing_value_plus_value_inconsistency,
IF(COUNTIF('Environmental Disclosures'!L75:L179,template_label_missing_value)&gt;0,
   template_label_missing_value,
IF(COUNTIF('Environmental Disclosures'!L75:L179,template_label_value_inconsistency)&gt;0,
   template_label_value_inconsistency,
IF(COUNTIF('Environmental Disclosures'!L75:L179,template_label_ok)&gt;0,
   template_label_ok,
"-")))))
)</f>
        <v>-</v>
      </c>
      <c r="D25" s="486" t="b">
        <v>0</v>
      </c>
      <c r="E25" s="496" t="str">
        <f>IF(AND(C25=template_label_classified_or_sensitive_information,'Environmental Disclosures'!G74=TRUE),template_label_information_on_sensitive_information_before_converting,"")</f>
        <v/>
      </c>
    </row>
    <row r="26" spans="2:5" ht="43.2" x14ac:dyDescent="0.3">
      <c r="B26" s="338" t="str">
        <f>template_label_b5_biodiversity_validation</f>
        <v xml:space="preserve">B5 – Biodiversité
</v>
      </c>
      <c r="C26" s="433" t="str">
        <f>IF(D26=TRUE, template_label_classified_or_sensitive_information,
IF(COUNTIF(C27:C28,template_label_error_plus_missing_value_plus_value_inconsistency)&gt;0,template_label_error_plus_missing_value_plus_value_inconsistency,
IF(COUNTIF(C27:C28,template_label_error_plus_value_inconsistency)&gt;0,template_label_error_plus_value_inconsistency,
IF(COUNTIF(C27:C28,template_label_error_plus_missing_value)&gt;0,template_label_error_plus_missing_value,
IF(COUNTIF(C27:C28,template_label_error)&gt;0,template_label_error,
IF(COUNTIF(C27:C28,template_label_missing_value_plus_value_inconsistency)&gt;0,template_label_missing_value_plus_value_inconsistency,
IF(COUNTIF(C27:C28,template_label_value_inconsistency)&gt;0,template_label_value_inconsistency,
IF(COUNTIF(C27:C28,template_label_missing_value)&gt;0,template_label_missing_value,
IF(COUNTIF(C27:C28,template_label_ok)=ROWS(C27:C28),template_label_ok,
IF(COUNTIF(C27:C28,"-")=ROWS(C27:C28),"-",
IF(AND(COUNTIF(C27:C28,template_label_ok)&gt;0, COUNTIF(C27:C28,template_label_error_plus_missing_value_plus_value_inconsistency)=0, COUNTIF(C27:C28,template_label_error_plus_value_inconsistency)=0, COUNTIF(C27:C28,template_label_error_plus_missing_value)=0, COUNTIF(C27:C28,template_label_error)=0, COUNTIF(C27:C28,template_label_missing_value_plus_value_inconsistency)=0, COUNTIF(C27:C28,template_label_value_inconsistency)=0, COUNTIF(C27:C28,template_label_missing_value)=0,OR(COUNTIF(C27:C28,template_label_missing_value)=0, COUNTIF(C27:C28,template_label_missing_value)&gt;0)), template_label_ok,
"-")))))))))
))</f>
        <v>-</v>
      </c>
      <c r="D26" s="438" t="b">
        <f>IF(COUNTIF(D27:D28,TRUE)=ROWS(D27:D28),TRUE,FALSE)</f>
        <v>0</v>
      </c>
      <c r="E26" s="496"/>
    </row>
    <row r="27" spans="2:5" x14ac:dyDescent="0.3">
      <c r="B27" s="427" t="str">
        <f>template_label_b5_sites_in_biodiversity_sensitive_areas</f>
        <v>B5 – Sites situés dans des zones sensibles sur le plan de la biodiversité</v>
      </c>
      <c r="C27" s="433" t="str">
        <f>IF(D27=TRUE, template_label_classified_or_sensitive_information,
IF(AND(
        COUNTIF('Environmental Disclosures'!D188:D287,template_label_ok) + COUNTIF('Environmental Disclosures'!L186:L287,template_label_ok) &gt; 0,
        COUNTIF('Environmental Disclosures'!D188:D287,template_label_missing_value) + COUNTIF('Environmental Disclosures'!L186:L287,template_label_missing_value) = 0,
        COUNTIF('Environmental Disclosures'!D188:D287,template_label_value_inconsistency) + COUNTIF('Environmental Disclosures'!L186:L287,template_label_value_inconsistency) = 0),
    template_label_ok,
    IF(AND(
           COUNTIF('Environmental Disclosures'!D188:D287,template_label_missing_value) + COUNTIF('Environmental Disclosures'!L186:L287,template_label_missing_value) &gt; 0,
           COUNTIF('Environmental Disclosures'!D188:D287,template_label_value_inconsistency) + COUNTIF('Environmental Disclosures'!L186:L287,template_label_value_inconsistency) = 0),
        template_label_missing_value,
        IF(AND(
               COUNTIF('Environmental Disclosures'!D188:D287,template_label_value_inconsistency) + COUNTIF('Environmental Disclosures'!L186:L287,template_label_value_inconsistency) &gt; 0,
               COUNTIF('Environmental Disclosures'!D188:D287,template_label_missing_value) + COUNTIF('Environmental Disclosures'!L186:L287,template_label_missing_value) = 0),
            template_label_value_inconsistency,
            IF(AND(
                   COUNTIF('Environmental Disclosures'!D188:D287,template_label_value_inconsistency) + COUNTIF('Environmental Disclosures'!L186:L287,template_label_value_inconsistency) &gt; 0,
                   COUNTIF('Environmental Disclosures'!D188:D287,template_label_missing_value) + COUNTIF('Environmental Disclosures'!L186:L287,template_label_missing_value) &gt; 0),
                template_label_missing_value_plus_value_inconsistency,
                "-"
            )
        )
    )
)
)</f>
        <v>-</v>
      </c>
      <c r="D27" s="439" t="b">
        <v>0</v>
      </c>
      <c r="E27" s="496" t="str">
        <f>IF(AND(C27=template_label_classified_or_sensitive_information,'Environmental Disclosures'!G184=TRUE),template_label_information_on_sensitive_information_before_converting,"")</f>
        <v/>
      </c>
    </row>
    <row r="28" spans="2:5" x14ac:dyDescent="0.3">
      <c r="B28" s="427" t="str">
        <f>template_label_b5_biodiversity_land_use</f>
        <v>B5 - Biodiversité - Utilisation des terres</v>
      </c>
      <c r="C28" s="433" t="str">
        <f>IF(D28=TRUE, template_label_classified_or_sensitive_information,
IF(
AND(
COUNTIF('Environmental Disclosures'!G293:G298,template_label_missing_value)&gt;0,
COUNTIF('Environmental Disclosures'!G293:G298,template_label_value_inconsistency)=0,
COUNTIF('Environmental Disclosures'!G293:G298,template_label_ok)&gt;=0
),
template_label_missing_value,
IF(
AND(
COUNTIF('Environmental Disclosures'!G293:G298,template_label_value_inconsistency)&gt;0,
COUNTIF('Environmental Disclosures'!G293:G298,template_label_missing_value)=0,
COUNTIF('Environmental Disclosures'!G293:G298,template_label_ok)&gt;=0
),
template_label_value_inconsistency,
IF(
AND(
COUNTIF('Environmental Disclosures'!G293:G298,template_label_value_inconsistency)&gt;0,
COUNTIF('Environmental Disclosures'!G293:G298,template_label_missing_value)&gt;0,
COUNTIF('Environmental Disclosures'!G293:G298,template_label_ok)&gt;=0
),
template_label_missing_value_plus_value_inconsistency,
IF(
AND(
COUNTIF('Environmental Disclosures'!G293:G298,template_label_value_inconsistency)=0,
COUNTIF('Environmental Disclosures'!G293:G298,template_label_missing_value)=0,
COUNTIF('Environmental Disclosures'!G293:G298,template_label_ok)&gt;0
),
template_label_ok,
"-"
)
)
))
)</f>
        <v>-</v>
      </c>
      <c r="D28" s="439" t="b">
        <v>0</v>
      </c>
      <c r="E28" s="496" t="str">
        <f>IF(AND(C28=template_label_classified_or_sensitive_information,COUNTIF('Environmental Disclosures'!D295:F298,"&lt;&gt;")&gt;0),template_label_information_on_sensitive_information_before_converting,"")</f>
        <v/>
      </c>
    </row>
    <row r="29" spans="2:5" x14ac:dyDescent="0.3">
      <c r="B29" s="338" t="str">
        <f>template_label_b6_water_validation</f>
        <v>B6 – Eau</v>
      </c>
      <c r="C29" s="433" t="str">
        <f>IF(D29=TRUE, template_label_classified_or_sensitive_information,
IF(COUNTIF(C30:C31,template_label_error_plus_missing_value_plus_value_inconsistency)&gt;0,template_label_error_plus_missing_value_plus_value_inconsistency,
IF(COUNTIF(C30:C31,template_label_error_plus_value_inconsistency)&gt;0,template_label_error_plus_value_inconsistency,
IF(COUNTIF(C30:C31,template_label_error_plus_missing_value)&gt;0,template_label_error_plus_missing_value,
IF(COUNTIF(C30:C31,template_label_error)&gt;0,template_label_error,
IF(COUNTIF(C30:C31,template_label_missing_value_plus_value_inconsistency)&gt;0,template_label_missing_value_plus_value_inconsistency,
IF(COUNTIF(C30:C31,template_label_value_inconsistency)&gt;0,template_label_value_inconsistency,
IF(COUNTIF(C30:C31,template_label_missing_value)&gt;0,template_label_missing_value,
IF(COUNTIF(C30:C31,template_label_ok)=ROWS(C30:C31),template_label_ok,
IF(COUNTIF(C30:C31,"-")=ROWS(C30:C31),"-",
IF(AND(COUNTIF(C30:C31,template_label_ok)&gt;0, COUNTIF(C27:C28,template_label_error_plus_missing_value_plus_value_inconsistency)=0, COUNTIF(C30:C31,template_label_error_plus_value_inconsistency)=0, COUNTIF(C30:C31,template_label_error_plus_missing_value)=0, COUNTIF(C30:C31,template_label_error)=0, COUNTIF(C30:C31,template_label_missing_value_plus_value_inconsistency)=0, COUNTIF(C30:C31,template_label_value_inconsistency)=0, COUNTIF(C30:C31,template_label_missing_value)=0,OR(COUNTIF(C30:C31,template_label_missing_value)=0, COUNTIF(C30:C31,template_label_missing_value)&gt;0)), template_label_ok,
"-")))))))))
))</f>
        <v>-</v>
      </c>
      <c r="D29" s="438" t="b">
        <f>IF(COUNTIF(D30:D31,TRUE)=ROWS(D30:D31),TRUE,FALSE)</f>
        <v>0</v>
      </c>
      <c r="E29" s="496"/>
    </row>
    <row r="30" spans="2:5" x14ac:dyDescent="0.3">
      <c r="B30" s="427" t="str">
        <f>template_label_b6_water_withdrawal</f>
        <v>B6 – Prélèvements d'eau</v>
      </c>
      <c r="C30" s="433" t="str">
        <f>IF(D30=TRUE, template_label_classified_or_sensitive_information,
IF(COUNTIF('Environmental Disclosures'!E303:F304, template_label_missing_value) &gt; 0,
    template_label_missing_value,
    IF(COUNTIF('Environmental Disclosures'!E303:F304, template_label_ok) &gt; 0,
        template_label_ok,
        "-"))
)</f>
        <v>-</v>
      </c>
      <c r="D30" s="439" t="b">
        <v>0</v>
      </c>
      <c r="E30" s="496" t="str">
        <f>IF(AND(C30=template_label_classified_or_sensitive_information,COUNTIF('Environmental Disclosures'!D303:D304,"&lt;&gt;")&gt;0),template_label_information_on_sensitive_information_before_converting,"")</f>
        <v/>
      </c>
    </row>
    <row r="31" spans="2:5" x14ac:dyDescent="0.3">
      <c r="B31" s="427" t="str">
        <f>template_label_b6_water_consumption</f>
        <v>B6 - Consommation d'eau</v>
      </c>
      <c r="C31" s="433" t="str">
        <f>IF(D31=TRUE, template_label_classified_or_sensitive_information,
IF(COUNTIF('Environmental Disclosures'!E310:F310, template_label_missing_value) &gt; 0,
    template_label_missing_value,
    IF(COUNTIF('Environmental Disclosures'!E310:F310, template_label_ok) &gt; 0,
        template_label_ok,
        "-"))
)</f>
        <v>-</v>
      </c>
      <c r="D31" s="439" t="b">
        <v>0</v>
      </c>
      <c r="E31" s="496" t="str">
        <f>IF(AND(C31=template_label_classified_or_sensitive_information,'Environmental Disclosures'!D309=TRUE),template_label_information_on_sensitive_information_before_converting,"")</f>
        <v/>
      </c>
    </row>
    <row r="32" spans="2:5" x14ac:dyDescent="0.3">
      <c r="B32" s="338" t="str">
        <f>template_label_b7_resource_use_circular_economy_and_waste_management_validation</f>
        <v>B7 - Utilisation des ressources, économie circulaire et gestion des déchets</v>
      </c>
      <c r="C32" s="433" t="str">
        <f>IF(D32=TRUE, template_label_classified_or_sensitive_information,
IF(COUNTIF(C33:C35, template_label_error_plus_missing_value_plus_value_inconsistency) &gt; 0, template_label_error_plus_missing_value_plus_value_inconsistency,
IF(COUNTIF(C33:C35, template_label_error_plus_value_inconsistency) &gt; 0, template_label_error_plus_value_inconsistency,
IF(COUNTIF(C33:C35, template_label_error_plus_missing_value) &gt; 0, template_label_error_plus_missing_value,
IF(COUNTIF(C33:C35, template_label_error) &gt; 0, template_label_error,
IF(COUNTIF(C33:C35, template_label_missing_value_plus_value_inconsistency) &gt; 0, template_label_missing_value_plus_value_inconsistency,
IF(COUNTIF(C33:C35, template_label_value_inconsistency) &gt; 0, template_label_value_inconsistency,
IF(COUNTIF(C33:C35, template_label_missing_value) &gt; 0, template_label_missing_value,
IF(COUNTIF(C33:C35, template_label_ok) = ROWS(C33:C35), template_label_ok,
IF(COUNTIF(C33:C35, "-") = ROWS(C33:C35), "-",
IF(AND(COUNTIF(C33:C35,template_label_ok)&gt;0, COUNTIF(C33:C35,template_label_error_plus_missing_value_plus_value_inconsistency)=0, COUNTIF(C33:C35,template_label_error_plus_value_inconsistency)=0, COUNTIF(C33:C35,template_label_error_plus_missing_value)=0, COUNTIF(C33:C35,template_label_error)=0, COUNTIF(C33:C35,template_label_missing_value_plus_value_inconsistency)=0, COUNTIF(C33:C35,template_label_value_inconsistency)=0, COUNTIF(C33:C35,template_label_missing_value)=0,OR(COUNTIF(C33:C35,template_label_missing_value)=0, COUNTIF(C33:C35,template_label_missing_value)&gt;0)), template_label_ok,
"-")))))))))
))</f>
        <v>-</v>
      </c>
      <c r="D32" s="438" t="b">
        <f>IF(COUNTIF(D34:D35,TRUE)=ROWS(D34:D35),TRUE,FALSE)</f>
        <v>0</v>
      </c>
      <c r="E32" s="496"/>
    </row>
    <row r="33" spans="2:5" x14ac:dyDescent="0.3">
      <c r="B33" s="427" t="str">
        <f>template_label_b7_description_of_circular_economy_principles</f>
        <v>B7 – Description des principes de l’économie circulaire</v>
      </c>
      <c r="C33" s="433" t="str">
        <f>IF(D33=TRUE, template_label_classified_or_sensitive_information,
IF(
AND(
COUNTIF('Environmental Disclosures'!H316:I317, template_label_missing_value) &gt; 0,
COUNTIF('Environmental Disclosures'!H316:I317, template_label_value_inconsistency) = 0,
COUNTIF('Environmental Disclosures'!H316:I317, template_label_ok) &gt;= 0
),
template_label_missing_value,
IF(
AND(
COUNTIF('Environmental Disclosures'!H316:I317, template_label_value_inconsistency) &gt; 0,
COUNTIF('Environmental Disclosures'!H316:I317, template_label_missing_value) = 0,
COUNTIF('Environmental Disclosures'!H316:I317, template_label_ok) &gt;= 0
),
template_label_value_inconsistency,
IF(
AND(
COUNTIF('Environmental Disclosures'!H316:I317, template_label_value_inconsistency) &gt; 0,
COUNTIF('Environmental Disclosures'!H316:I317, template_label_missing_value) &gt; 0,
COUNTIF('Environmental Disclosures'!H316:I317, template_label_ok) &gt;= 0
),
template_label_missing_value_plus_value_inconsistency,
IF(
AND(
COUNTIF('Environmental Disclosures'!H316:I317, template_label_value_inconsistency) = 0,
COUNTIF('Environmental Disclosures'!H316:I317, template_label_missing_value) = 0,
COUNTIF('Environmental Disclosures'!H316:I317, template_label_ok) &gt; 0
),
template_label_ok,
"-"
)
)
))
)</f>
        <v>-</v>
      </c>
      <c r="D33" s="494" t="b">
        <v>0</v>
      </c>
      <c r="E33" s="496" t="str">
        <f>IF(AND(C33=template_label_classified_or_sensitive_information,COUNTIF('Environmental Disclosures'!D316:G317,"&lt;&gt;")&gt;0),template_label_information_on_sensitive_information_before_converting,"")</f>
        <v/>
      </c>
    </row>
    <row r="34" spans="2:5" x14ac:dyDescent="0.3">
      <c r="B34" s="427" t="str">
        <f>template_label_b7_waste_generated</f>
        <v>B7 - Déchets produits</v>
      </c>
      <c r="C34" s="433" t="str">
        <f>IF(D34=TRUE, template_label_classified_or_sensitive_information,
IF(
    AND(
        COUNTIF('Environmental Disclosures'!M323:M423, template_label_error) &gt; 0,
        COUNTIF('Environmental Disclosures'!M323:M423, template_label_missing_value) &gt; 0,
        COUNTIF('Environmental Disclosures'!M323:M423, template_label_value_inconsistency) &gt; 0
    ),
    template_label_error_plus_missing_value_plus_value_inconsistency,
IF(
    AND(
        COUNTIF('Environmental Disclosures'!M323:M423, template_label_error) &gt; 0,
        COUNTIF('Environmental Disclosures'!M323:M423, template_label_value_inconsistency) &gt; 0,
        COUNTIF('Environmental Disclosures'!M323:M423, template_label_missing_value) = 0
    ),
    template_label_error_plus_value_inconsistency,
IF(
    AND(
        COUNTIF('Environmental Disclosures'!M323:M423, template_label_error) &gt; 0,
        COUNTIF('Environmental Disclosures'!M323:M423, template_label_missing_value) &gt; 0,
        COUNTIF('Environmental Disclosures'!M323:M423, template_label_value_inconsistency) = 0
    ),
    template_label_error_plus_missing_value,
IF(
    AND(
        COUNTIF('Environmental Disclosures'!M323:M423, template_label_missing_value) &gt; 0,
        COUNTIF('Environmental Disclosures'!M323:M423, template_label_value_inconsistency) &gt; 0,
        COUNTIF('Environmental Disclosures'!M323:M423, template_label_error) = 0
    ),
    template_label_missing_value_plus_value_inconsistency,
IF(
    AND(
        COUNTIF('Environmental Disclosures'!M323:M423, template_label_error) &gt; 0,
        COUNTIF('Environmental Disclosures'!M323:M423, template_label_missing_value) = 0,
        COUNTIF('Environmental Disclosures'!M323:M423, template_label_value_inconsistency) = 0
    ),
    template_label_error,
IF(
    AND(
        COUNTIF('Environmental Disclosures'!M323:M423, template_label_missing_value) &gt; 0,
        COUNTIF('Environmental Disclosures'!M323:M423, template_label_error) = 0,
        COUNTIF('Environmental Disclosures'!M323:M423, template_label_value_inconsistency) = 0
    ),
    template_label_missing_value,
IF(
    AND(
        COUNTIF('Environmental Disclosures'!M323:M423, template_label_value_inconsistency) &gt; 0,
        COUNTIF('Environmental Disclosures'!M323:M423, template_label_error) = 0,
        COUNTIF('Environmental Disclosures'!M323:M423, template_label_missing_value) = 0
    ),
    template_label_value_inconsistency,
IF(
    AND(
        COUNTIF('Environmental Disclosures'!M323:M423, template_label_error) = 0,
        COUNTIF('Environmental Disclosures'!M323:M423, template_label_missing_value) = 0,
        COUNTIF('Environmental Disclosures'!M323:M423, template_label_value_inconsistency) = 0,
        COUNTIF('Environmental Disclosures'!M323:M423, template_label_ok) &gt; 0
    ),
    template_label_ok,
"-"
))))))))
)</f>
        <v>-</v>
      </c>
      <c r="D34" s="486" t="b">
        <v>0</v>
      </c>
      <c r="E34" s="496" t="str">
        <f>IF(AND(C34=template_label_classified_or_sensitive_information,COUNTIF('Environmental Disclosures'!D323:K422,"&lt;&gt;")&gt;0),template_label_information_on_sensitive_information_before_converting,"")</f>
        <v/>
      </c>
    </row>
    <row r="35" spans="2:5" x14ac:dyDescent="0.3">
      <c r="B35" s="427" t="str">
        <f>template_label_b7_annual_mass_flow_of_relevant_materials_used</f>
        <v>B7 – Flux massique annuel des matières pertinentes utilisées</v>
      </c>
      <c r="C35" s="433" t="str">
        <f>IF(D35=TRUE, template_label_classified_or_sensitive_information,
IF(COUNTIF('Environmental Disclosures'!K435:K534, template_label_missing_value) &gt; 0,
    template_label_missing_value,
    IF(COUNTIF('Environmental Disclosures'!K435:K534, template_label_ok) &gt; 0,
        template_label_ok,
        "-"))
)</f>
        <v>-</v>
      </c>
      <c r="D35" s="439" t="b">
        <v>0</v>
      </c>
      <c r="E35" s="496" t="str">
        <f>IF(AND(C35=template_label_classified_or_sensitive_information,'Environmental Disclosures'!G433=TRUE),template_label_information_on_sensitive_information_before_converting,"")</f>
        <v/>
      </c>
    </row>
    <row r="36" spans="2:5" x14ac:dyDescent="0.3">
      <c r="B36" s="429" t="str">
        <f>template_label_social_disclosures_validation</f>
        <v>Informations sociales</v>
      </c>
      <c r="C36" s="417"/>
      <c r="D36" s="418"/>
      <c r="E36" s="496"/>
    </row>
    <row r="37" spans="2:5" ht="14.4" customHeight="1" x14ac:dyDescent="0.3">
      <c r="B37" s="307" t="str">
        <f>template_label_b8_workforce_general_characteristics_validation</f>
        <v>B8 – Personnel – Caractéristiques générales</v>
      </c>
      <c r="C37" s="433" t="str">
        <f>IF(D37=TRUE, template_label_classified_or_sensitive_information,
IF(COUNTIF(C38:C41, template_label_error_plus_missing_value_plus_value_inconsistency) &gt; 0, template_label_error_plus_missing_value_plus_value_inconsistency,
IF(COUNTIF(C38:C41, template_label_error_plus_value_inconsistency) &gt; 0, template_label_error_plus_value_inconsistency,
IF(COUNTIF(C38:C41, template_label_error_plus_missing_value) &gt; 0, template_label_error_plus_missing_value,
IF(COUNTIF(C38:C41, template_label_error) &gt; 0, template_label_error,
IF(COUNTIF(C38:C41, template_label_missing_value_plus_value_inconsistency) &gt; 0, template_label_missing_value_plus_value_inconsistency,
IF(COUNTIF(C38:C41, template_label_value_inconsistency) &gt; 0, template_label_value_inconsistency,
IF(COUNTIF(C38:C41, template_label_missing_value) &gt; 0, template_label_missing_value,
IF(COUNTIF(C38:C41, template_label_ok) = ROWS(C38:C41), template_label_ok,
IF(COUNTIF(C38:C41, "-") = ROWS(C38:C41), "-",
IF(AND(COUNTIF(C38:C41,template_label_ok)&gt;0, COUNTIF(C38:C41,template_label_error_plus_missing_value_plus_value_inconsistency)=0, COUNTIF(C38:C41,template_label_error_plus_value_inconsistency)=0, COUNTIF(C38:C41,template_label_error_plus_missing_value)=0, COUNTIF(C38:C41,template_label_error)=0, COUNTIF(C38:C41,template_label_missing_value_plus_value_inconsistency)=0, COUNTIF(C38:C41,template_label_value_inconsistency)=0, COUNTIF(C38:C41,template_label_missing_value)=0,OR(COUNTIF(C38:C41,template_label_missing_value)=0, COUNTIF(C38:C41,template_label_missing_value)&gt;0)), template_label_ok,
"-")))))))))
))</f>
        <v>-</v>
      </c>
      <c r="D37" s="438" t="b">
        <f>IF(COUNTIF(D38:D41,TRUE)=ROWS(D38:D41),TRUE,FALSE)</f>
        <v>0</v>
      </c>
      <c r="E37" s="496"/>
    </row>
    <row r="38" spans="2:5" ht="14.4" customHeight="1" x14ac:dyDescent="0.3">
      <c r="B38" s="427" t="str">
        <f>template_label_b8_workforce_general_characteristics_type_of_contract</f>
        <v>B8 –   Personnel – Caractéristiques générales  - Type de contrat</v>
      </c>
      <c r="C38" s="433" t="str">
        <f>IF(D38=TRUE, template_label_classified_or_sensitive_information,
IF(COUNTIF('Social Disclosures'!H10, template_label_missing_value) &gt; 0,
    template_label_missing_value,
    IF(COUNTIF('Social Disclosures'!H10, template_label_ok) &gt; 0,
        template_label_ok,
        "-"))
)</f>
        <v>-</v>
      </c>
      <c r="D38" s="439" t="b">
        <v>0</v>
      </c>
      <c r="E38" s="496" t="str">
        <f>IF(AND(C38=template_label_classified_or_sensitive_information,COUNTIF([0]!NumberOfPermanentContractEmployees,"&lt;&gt;")&gt;0),template_label_information_on_sensitive_information_before_converting,"")</f>
        <v/>
      </c>
    </row>
    <row r="39" spans="2:5" ht="14.4" customHeight="1" x14ac:dyDescent="0.3">
      <c r="B39" s="427" t="str">
        <f>template_label_b8_workforce_general_characteristics_gender</f>
        <v>B8 –   Personnel – Caractéristiques générales  - Genre</v>
      </c>
      <c r="C39" s="433" t="str">
        <f>IF(D39=TRUE,template_label_classified_or_sensitive_information,
IF(COUNTIF('Social Disclosures'!H18,template_label_missing_value)&gt;0,
template_label_missing_value,IF(COUNTIF('Social Disclosures'!H18,template_label_value_inconsistency)&gt;0,
template_label_value_inconsistency,
IF(COUNTIF('Social Disclosures'!H18,template_label_ok)&gt;0,
template_label_ok,
"-"))
))</f>
        <v>-</v>
      </c>
      <c r="D39" s="439" t="b">
        <v>0</v>
      </c>
      <c r="E39" s="496" t="str">
        <f>IF(AND(C39=template_label_classified_or_sensitive_information,COUNTIF('Social Disclosures'!D18:G21,"&lt;&gt;")&gt;0),template_label_information_on_sensitive_information_before_converting,"")</f>
        <v/>
      </c>
    </row>
    <row r="40" spans="2:5" ht="14.4" customHeight="1" x14ac:dyDescent="0.3">
      <c r="B40" s="427" t="str">
        <f>template_label_b8_workforce_general_characteristics_country_of_employment</f>
        <v>B8 –   Personnel – Caractéristiques générales  - Pays d'emploi</v>
      </c>
      <c r="C40" s="433" t="str">
        <f>IF(D40=TRUE, template_label_classified_or_sensitive_information,
IF(COUNTIF('Social Disclosures'!I29:I128, template_label_missing_value) &gt; 0,
    template_label_missing_value,
    IF(COUNTIF('Social Disclosures'!I29:I128, template_label_ok) &gt; 0,
        template_label_ok,
        "-"))
)</f>
        <v>-</v>
      </c>
      <c r="D40" s="439" t="b">
        <v>0</v>
      </c>
      <c r="E40" s="496" t="str">
        <f>IF(AND(C40=template_label_classified_or_sensitive_information,'Social Disclosures'!E27=TRUE),template_label_information_on_sensitive_information_before_converting,"")</f>
        <v/>
      </c>
    </row>
    <row r="41" spans="2:5" ht="14.4" customHeight="1" x14ac:dyDescent="0.3">
      <c r="B41" s="427" t="str">
        <f>template_label_b8_workforce_general_characteristics_turnover_rate</f>
        <v>B8 –   Personnel – Caractéristiques générales  - Taux de rotation des salariés</v>
      </c>
      <c r="C41" s="433" t="str">
        <f>IF(D41=TRUE, template_label_classified_or_sensitive_information,
IF(COUNTIF('Social Disclosures'!I134:I136, template_label_missing_value) &gt; 0,
    template_label_missing_value,
    IF(COUNTIF('Social Disclosures'!I134:I136, template_label_ok) &gt; 0,
        template_label_ok,
        "-"))
)</f>
        <v>-</v>
      </c>
      <c r="D41" s="439" t="b">
        <v>0</v>
      </c>
      <c r="E41" s="496" t="str">
        <f>IF(AND(C41=template_label_classified_or_sensitive_information,COUNTIF('Social Disclosures'!D134:H136,"&lt;&gt;")&gt;0),template_label_information_on_sensitive_information_before_converting,"")</f>
        <v/>
      </c>
    </row>
    <row r="42" spans="2:5" ht="14.4" customHeight="1" x14ac:dyDescent="0.3">
      <c r="B42" s="338" t="str">
        <f>template_label_b9_workforce_health_and_safety_validation</f>
        <v>B9 – Personnel – Santé et sécurité</v>
      </c>
      <c r="C42" s="433" t="str">
        <f>IF(D42=TRUE, template_label_classified_or_sensitive_information,
IF(COUNTIF('Social Disclosures'!I140:I144, template_label_missing_value) &gt; 0,
    template_label_missing_value,
    IF(COUNTIF('Social Disclosures'!I140:I144, template_label_ok) &gt; 0,
        template_label_ok,
        "-"))
)</f>
        <v>-</v>
      </c>
      <c r="D42" s="439" t="b">
        <v>0</v>
      </c>
      <c r="E42" s="496" t="str">
        <f>IF(AND(C42=template_label_classified_or_sensitive_information,COUNTIF('Social Disclosures'!D140:H142,"&lt;&gt;")&gt;0),template_label_information_on_sensitive_information_before_converting,"")</f>
        <v/>
      </c>
    </row>
    <row r="43" spans="2:5" x14ac:dyDescent="0.3">
      <c r="B43" s="338" t="str">
        <f>template_label_b10_workforce_remuneration_collective_bargaining_and_training_validation</f>
        <v>B10 –   Personnel – Rémunération, négociation collective et formation</v>
      </c>
      <c r="C43" s="433" t="str">
        <f>IF(D43=TRUE,template_label_classified_or_sensitive_information,
IF(COUNTIF(C44:C45,template_label_error_plus_missing_value_plus_value_inconsistency)&gt;0,template_label_error_plus_missing_value_plus_value_inconsistency,
IF(COUNTIF(C44:C45,template_label_error_plus_value_inconsistency)&gt;0,template_label_error_plus_value_inconsistency,
IF(COUNTIF(C44:C45,template_label_error_plus_missing_value)&gt;0,template_label_error_plus_missing_value,
IF(COUNTIF(C44:C45,template_label_error)&gt;0,template_label_error,
IF(COUNTIF(C44:C45,template_label_missing_value_plus_value_inconsistency)&gt;0,template_label_missing_value_plus_value_inconsistency,
IF(COUNTIF(C44:C45,template_label_value_inconsistency)&gt;0,template_label_value_inconsistency,
IF(COUNTIF(C44:C45,template_label_missing_value)&gt;0,template_label_missing_value,
IF(COUNTIF(C44:C45,template_label_ok)=ROWS(C44:C45),template_label_ok,
IF(COUNTIF(C44:C45,"-")=ROWS(C44:C45),"-",
IF(AND(COUNTIF(C44:C45,template_label_ok)&gt;0,COUNTIF(C44:C45,template_label_error_plus_missing_value_plus_value_inconsistency)=0,COUNTIF(C44:C45,template_label_error_plus_value_inconsistency)=0,COUNTIF(C44:C45,template_label_error_plus_missing_value)=0,COUNTIF(C44:C45,template_label_error)=0,COUNTIF(C44:C45,template_label_missing_value_plus_value_inconsistency)=0,COUNTIF(C44:C45,template_label_value_inconsistency)=0,COUNTIF(C44:C45,template_label_missing_value)=0,OR(COUNTIF(C44:C45,template_label_missing_value)=0, COUNTIF(C44:C45,template_label_missing_value)&gt;0)),template_label_ok,
"-")))))))))))</f>
        <v>-</v>
      </c>
      <c r="D43" s="438" t="b">
        <f>IF(COUNTIF(D44:D45,TRUE)=ROWS(D44:D45),TRUE,FALSE)</f>
        <v>0</v>
      </c>
      <c r="E43" s="496"/>
    </row>
    <row r="44" spans="2:5" x14ac:dyDescent="0.3">
      <c r="B44" s="482" t="str">
        <f>template_label_b10_workforce_remuneration_collective_bargaining</f>
        <v>B10 – Personnel – Rémunération et négociation collective</v>
      </c>
      <c r="C44" s="433" t="str">
        <f>IF(D44=TRUE, template_label_classified_or_sensitive_information,
IF(COUNTIF('Social Disclosures'!I147:I151, template_label_missing_value) &gt; 0,
    template_label_missing_value,
    IF(COUNTIF('Social Disclosures'!I147:I151, template_label_ok) &gt; 0,
        template_label_ok,
        "-"))
)</f>
        <v>-</v>
      </c>
      <c r="D44" s="439" t="b">
        <v>0</v>
      </c>
      <c r="E44" s="496" t="str">
        <f>IF(AND(C44=template_label_classified_or_sensitive_information,OR(COUNTIF('Social Disclosures'!D147:H149,"&lt;&gt;")&gt;0,COUNTIF('Social Disclosures'!D151,"&lt;&gt;")&gt;0)),template_label_information_on_sensitive_information_before_converting,"")</f>
        <v/>
      </c>
    </row>
    <row r="45" spans="2:5" x14ac:dyDescent="0.3">
      <c r="B45" s="427" t="str">
        <f>template_label_number_of_annual_training_hours_per_employee_during_the_reporting_period</f>
        <v>B10 – Personnel – Nombre moyen d'heures annuelles de formation par salarié au cours de la période de reporting</v>
      </c>
      <c r="C45" s="433" t="str">
        <f>IF(D45=TRUE, template_label_classified_or_sensitive_information,
IF(COUNTIF('Social Disclosures'!I157:I160, template_label_missing_value) &gt; 0,
    template_label_missing_value,
    IF(COUNTIF('Social Disclosures'!I157:I160, template_label_ok) &gt; 0,
        template_label_ok,
        "-"))
)</f>
        <v>-</v>
      </c>
      <c r="D45" s="439" t="b">
        <v>0</v>
      </c>
      <c r="E45" s="496" t="str">
        <f>IF(AND(C45=template_label_classified_or_sensitive_information,COUNTIF('Social Disclosures'!D157:H160,"&lt;&gt;")&gt;0),template_label_information_on_sensitive_information_before_converting,"")</f>
        <v/>
      </c>
    </row>
    <row r="46" spans="2:5" x14ac:dyDescent="0.3">
      <c r="B46" s="429" t="str">
        <f>template_label_governance_disclosures_validation</f>
        <v>Informations de gouvernance</v>
      </c>
      <c r="C46" s="417"/>
      <c r="D46" s="418"/>
      <c r="E46" s="496"/>
    </row>
    <row r="47" spans="2:5" ht="15" thickBot="1" x14ac:dyDescent="0.35">
      <c r="B47" s="339" t="str">
        <f>template_label_b11_convictions_and_fines_for_corruption_and_bribery_validation</f>
        <v>B11 – Condamnations et amendes pour corruption et pots-de-vin</v>
      </c>
      <c r="C47" s="431" t="str">
        <f>IF(D47=TRUE, template_label_classified_or_sensitive_information,
IF(COUNTIF('Governance Disclosures'!I6:I7, template_label_missing_value) &gt; 0,
    template_label_missing_value,
    IF(COUNTIF('Governance Disclosures'!I6:I7, template_label_ok) &gt; 0,
        template_label_ok,
        "-"))
)</f>
        <v>-</v>
      </c>
      <c r="D47" s="441" t="b">
        <v>0</v>
      </c>
      <c r="E47" s="496" t="str">
        <f>IF(AND(C47=template_label_classified_or_sensitive_information,'Governance Disclosures'!H5=TRUE),template_label_information_on_sensitive_information_before_converting,"")</f>
        <v/>
      </c>
    </row>
    <row r="48" spans="2:5" ht="18" x14ac:dyDescent="0.35">
      <c r="B48" s="377" t="str">
        <f>template_label_comprehensive_module_validation</f>
        <v>Module complet</v>
      </c>
      <c r="C48" s="434"/>
      <c r="D48" s="419"/>
      <c r="E48" s="496"/>
    </row>
    <row r="49" spans="2:5" x14ac:dyDescent="0.3">
      <c r="B49" s="428" t="str">
        <f>template_label_general_information_validation</f>
        <v>Informations générales</v>
      </c>
      <c r="C49" s="417"/>
      <c r="D49" s="418"/>
      <c r="E49" s="496"/>
    </row>
    <row r="50" spans="2:5" ht="28.8" x14ac:dyDescent="0.3">
      <c r="B50" s="338" t="str">
        <f>template_label_c1_strategy_business_model_and_sustainability_related_initiatives_validation</f>
        <v xml:space="preserve">C1 – Stratégie : modèle économique et durabilité – initiatives associées
</v>
      </c>
      <c r="C50" s="433" t="str">
        <f>IF(D50=TRUE, template_label_classified_or_sensitive_information,
IF(COUNTIF('General Information'!H527:H531, template_label_missing_value) &gt; 0,
    template_label_missing_value,
    IF(COUNTIF('General Information'!H527:H531, template_label_ok) &gt; 0,
        template_label_ok,
        "-"))
)</f>
        <v>-</v>
      </c>
      <c r="D50" s="439" t="b">
        <v>0</v>
      </c>
      <c r="E50" s="496" t="str">
        <f>IF(AND(C50=template_label_classified_or_sensitive_information,OR(COUNTIF('General Information'!E527:G529,"&lt;&gt;")&gt;0,'General Information'!E530=TRUE)),template_label_information_on_sensitive_information_before_converting,"")</f>
        <v/>
      </c>
    </row>
    <row r="51" spans="2:5" x14ac:dyDescent="0.3">
      <c r="B51" s="338" t="str">
        <f>template_label_c2_description_of_practices_policies_and_future_initiatives_for_transitioning_towards_a_more_sustainable_economy_validation</f>
        <v>C2 – Description des pratiques, politiques et initiatives futures en vue de la transition vers une économie plus durable</v>
      </c>
      <c r="C51" s="433" t="str">
        <f>IF(D51=TRUE, template_label_classified_or_sensitive_information,
IF(COUNTIF('General Information'!H521:H523, template_label_missing_value) &gt; 0,
    template_label_missing_value,
    IF(COUNTIF('General Information'!H521:H523, template_label_ok) &gt; 0,
        template_label_ok,
        "-"))
)</f>
        <v>-</v>
      </c>
      <c r="D51" s="439" t="b">
        <v>0</v>
      </c>
      <c r="E51" s="496" t="str">
        <f>IF(AND(C51=template_label_classified_or_sensitive_information,COUNTIF('General Information'!E218:E326,"&lt;&gt;")&gt;0),template_label_information_on_sensitive_information_before_converting,"")</f>
        <v/>
      </c>
    </row>
    <row r="52" spans="2:5" x14ac:dyDescent="0.3">
      <c r="B52" s="429" t="str">
        <f>template_label_environmental_disclosures_validation</f>
        <v>Informations environnementales</v>
      </c>
      <c r="C52" s="417"/>
      <c r="D52" s="418"/>
      <c r="E52" s="496"/>
    </row>
    <row r="53" spans="2:5" x14ac:dyDescent="0.3">
      <c r="B53" s="307" t="str">
        <f>template_label_c3_ghg_reduction_targets_and_climate_transition_validation</f>
        <v>C3 –   Cibles de réduction des émissions de GES et transition climatique</v>
      </c>
      <c r="C53" s="433" t="str">
        <f>IF(D53=TRUE,template_label_classified_or_sensitive_information,
IF(COUNTIF(C54:C56,template_label_error_plus_missing_value_plus_value_inconsistency)&gt;0,template_label_error_plus_missing_value_plus_value_inconsistency,
IF(COUNTIF(C54:C56,template_label_error_plus_value_inconsistency)&gt;0,template_label_error_plus_value_inconsistency,
IF(COUNTIF(C54:C56,template_label_error_plus_missing_value)&gt;0,template_label_error_plus_missing_value,
IF(COUNTIF(C54:C56,template_label_error)&gt;0,template_label_error,
IF(COUNTIF(C54:C56,template_label_missing_value_plus_value_inconsistency)&gt;0,template_label_missing_value_plus_value_inconsistency,
IF(COUNTIF(C54:C56,template_label_value_inconsistency)&gt;0,template_label_value_inconsistency,
IF(COUNTIF(C54:C56,template_label_missing_value)&gt;0,template_label_missing_value,
IF(COUNTIF(C54:C56,template_label_ok)=ROWS(C54:C56),template_label_ok,
IF(COUNTIF(C54:C56,"-")=ROWS(C54:C56),"-",
IF(AND(COUNTIF(C54:C56,template_label_ok)&gt;0,
COUNTIF(C54:C56,template_label_error_plus_missing_value_plus_value_inconsistency)=0,
COUNTIF(C54:C56,template_label_error_plus_value_inconsistency)=0,
COUNTIF(C54:C56,template_label_error_plus_missing_value)=0,
COUNTIF(C54:C56,template_label_error)=0,
COUNTIF(C54:C56,template_label_missing_value_plus_value_inconsistency)=0,
COUNTIF(C54:C56,template_label_value_inconsistency)=0,
COUNTIF(C54:C56,template_label_missing_value)=0),
template_label_ok,
"-")))))))))))</f>
        <v>-</v>
      </c>
      <c r="D53" s="438" t="b">
        <f>IF(COUNTIF(D54:D56,TRUE)=ROWS(D54:D56),TRUE,FALSE)</f>
        <v>0</v>
      </c>
      <c r="E53" s="496"/>
    </row>
    <row r="54" spans="2:5" x14ac:dyDescent="0.3">
      <c r="B54" s="427" t="str">
        <f>template_label_c3_ghg_reduction_targets</f>
        <v>Cibles de réduction des émissions de GES (en tCO₂e)</v>
      </c>
      <c r="C54" s="433" t="str">
        <f>IF(D54=TRUE, template_label_classified_or_sensitive_information,
IF(AND('General Information'!E125 = "Option A (Basic Module only)",
        COUNTA('Environmental Disclosures'!G21:G24) = 0),
    "-",
IF(COUNTIF('Environmental Disclosures'!L52, template_label_missing_value) &gt; 0,
    template_label_missing_value,
IF(COUNTIF('Environmental Disclosures'!L52, template_label_ok) &gt; 0,
    template_label_ok,
"-")))
)</f>
        <v>-</v>
      </c>
      <c r="D54" s="439" t="b">
        <v>0</v>
      </c>
      <c r="E54" s="496" t="str">
        <f>IF(AND(C54=template_label_classified_or_sensitive_information,'Environmental Disclosures'!J19=TRUE),template_label_information_on_sensitive_information_before_converting,"")</f>
        <v/>
      </c>
    </row>
    <row r="55" spans="2:5" x14ac:dyDescent="0.3">
      <c r="B55" s="427" t="str">
        <f>template_label_c3_disclosure_of_list_of_main_actions_the_entity_seeks_in_order_to_achieve_its_targets</f>
        <v>C3 - Publication de la liste des principales actions que l'entreprise entend mettre en œuvre pour atteindre ses cibles</v>
      </c>
      <c r="C55" s="433" t="str">
        <f>IF(D55=TRUE, template_label_classified_or_sensitive_information,
IF(COUNTIF('Environmental Disclosures'!L52, template_label_missing_value) &gt; 0,
    template_label_missing_value,
    IF(COUNTIF('Environmental Disclosures'!L52, template_label_ok) &gt; 0,
        template_label_ok,
        "-"))
)</f>
        <v>-</v>
      </c>
      <c r="D55" s="439" t="b">
        <v>0</v>
      </c>
      <c r="E55" s="496" t="str">
        <f>IF(AND(C55=template_label_classified_or_sensitive_information,COUNTIF(DisclosureOfListOfMainActionsTheEntitySeeksInOrderToAchieveItsTargets,"&lt;&gt;")&gt;0),template_label_information_on_sensitive_information_before_converting,"")</f>
        <v/>
      </c>
    </row>
    <row r="56" spans="2:5" x14ac:dyDescent="0.3">
      <c r="B56" s="427" t="str">
        <f>template_label_c3_transition_plan_for_undertakings_operating_in_high_climate_impact_sectors</f>
        <v>C3 - Plan de transition pour les entreprises opérant dans des secteurs à fort impact climatique</v>
      </c>
      <c r="C56" s="433" t="str">
        <f>IF(D56=TRUE, template_label_classified_or_sensitive_information,
IF(
AND(
COUNTIF('Environmental Disclosures'!L57:L59, template_label_missing_value) &gt; 0,
COUNTIF('Environmental Disclosures'!L57:L59, template_label_error) = 0,
COUNTIF('Environmental Disclosures'!L57:L59, template_label_ok) &gt;= 0
),
template_label_missing_value,
IF(
AND(
COUNTIF('Environmental Disclosures'!L57:L59, template_label_error) &gt; 0,
COUNTIF('Environmental Disclosures'!L57:L59, template_label_missing_value) = 0,
COUNTIF('Environmental Disclosures'!L57:L59, template_label_ok) &gt;= 0
),
template_label_error,
IF(
AND(
COUNTIF('Environmental Disclosures'!L57:L59, template_label_error) &gt; 0,
COUNTIF('Environmental Disclosures'!L57:L59, template_label_missing_value) &gt; 0,
COUNTIF('Environmental Disclosures'!L57:L59, template_label_ok) &gt;= 0
),
template_label_error_plus_missing_value,
IF(
AND(
COUNTIF('Environmental Disclosures'!L57:L59, template_label_error) = 0,
COUNTIF('Environmental Disclosures'!L57:L59, template_label_missing_value) = 0,
COUNTIF('Environmental Disclosures'!L57:L59, template_label_ok) &gt; 0
),
template_label_ok,
"-"
)
)
))
)</f>
        <v>-</v>
      </c>
      <c r="D56" s="439" t="b">
        <v>0</v>
      </c>
      <c r="E56" s="496" t="str">
        <f>IF(AND(C56=template_label_classified_or_sensitive_information,COUNTIF('Environmental Disclosures'!D57,"&lt;&gt;")&gt;0),template_label_information_on_sensitive_information_before_converting,"")</f>
        <v/>
      </c>
    </row>
    <row r="57" spans="2:5" x14ac:dyDescent="0.3">
      <c r="B57" s="338" t="str">
        <f>template_label_c4_climate_risks_validation</f>
        <v>C4 – Risques climatiques</v>
      </c>
      <c r="C57" s="433" t="str">
        <f>IF(D57=TRUE, template_label_classified_or_sensitive_information,
IF(COUNTIF('Environmental Disclosures'!L540:L544, template_label_missing_value) &gt; 0,
    template_label_missing_value,
    IF(COUNTIF('Environmental Disclosures'!L540:L544, template_label_ok) &gt; 0,
        template_label_ok,
        "-"))
)</f>
        <v>-</v>
      </c>
      <c r="D57" s="439" t="b">
        <v>0</v>
      </c>
      <c r="E57" s="496" t="str" cm="1">
        <f t="array" ref="E57">IF(AND(C57=template_label_classified_or_sensitive_information,'Environmental Disclosures'!E539:K539=TRUE),template_label_information_on_sensitive_information_before_converting,"")</f>
        <v/>
      </c>
    </row>
    <row r="58" spans="2:5" x14ac:dyDescent="0.3">
      <c r="B58" s="429" t="str">
        <f>template_label_social_disclosures_validation</f>
        <v>Informations sociales</v>
      </c>
      <c r="C58" s="417"/>
      <c r="D58" s="418"/>
      <c r="E58" s="496"/>
    </row>
    <row r="59" spans="2:5" x14ac:dyDescent="0.3">
      <c r="B59" s="338" t="str">
        <f>template_label_c5_additional_general_workforce_characteristics_validation</f>
        <v>C5 – Caractéristiques supplémentaires (générales) du personnel</v>
      </c>
      <c r="C59" s="433" t="str">
        <f>IF(D59=TRUE, template_label_classified_or_sensitive_information,
IF(COUNTIF('Social Disclosures'!I165:I169, template_label_ok) &gt; 0,
    template_label_ok,
    "-")
)</f>
        <v>-</v>
      </c>
      <c r="D59" s="439" t="b">
        <v>0</v>
      </c>
      <c r="E59" s="496" t="str">
        <f>IF(AND(C59=template_label_classified_or_sensitive_information,OR(COUNTIF('Social Disclosures'!D165:H166,"&lt;&gt;")&gt;0,COUNTIF('Social Disclosures'!D168:H169,"&lt;&gt;")&gt;0)),template_label_information_on_sensitive_information_before_converting,"")</f>
        <v/>
      </c>
    </row>
    <row r="60" spans="2:5" x14ac:dyDescent="0.3">
      <c r="B60" s="338" t="str">
        <f>template_label_c6_additional_own_workforce_information_human_rights_policies_and_processes_validation</f>
        <v>C6 – Informations supplémentaires sur le personnel – Politiques et procédures en matière de droits de l’homme</v>
      </c>
      <c r="C60" s="433" t="str">
        <f>IF(D60=TRUE, template_label_classified_or_sensitive_information,
IF(
AND(
COUNTIF('Social Disclosures'!I172:I181, template_label_missing_value) &gt; 0,
COUNTIF('Social Disclosures'!I172:I181, template_label_value_inconsistency) = 0,
COUNTIF('Social Disclosures'!I172:I181, template_label_ok) &gt;= 0
),
template_label_missing_value,
IF(
AND(
COUNTIF('Social Disclosures'!I172:I181, template_label_value_inconsistency) &gt; 0,
COUNTIF('Social Disclosures'!I172:I181, template_label_missing_value) = 0,
COUNTIF('Social Disclosures'!I172:I181, template_label_ok) &gt;= 0
),
template_label_value_inconsistency,
IF(
AND(
COUNTIF('Social Disclosures'!I172:I181, template_label_value_inconsistency) &gt; 0,
COUNTIF('Social Disclosures'!I172:I181, template_label_missing_value) &gt; 0,
COUNTIF('Social Disclosures'!I172:I181, template_label_ok) &gt;= 0
),
template_label_missing_value_plus_value_inconsistency,
IF(
AND(
COUNTIF('Social Disclosures'!I172:I181, template_label_value_inconsistency) = 0,
COUNTIF('Social Disclosures'!I172:I181, template_label_missing_value) = 0,
COUNTIF('Social Disclosures'!I172:I181, template_label_ok) &gt; 0
),
template_label_ok,
"-"
)
)
))
)</f>
        <v>-</v>
      </c>
      <c r="D60" s="439" t="b">
        <v>0</v>
      </c>
      <c r="E60" s="496" t="str">
        <f>IF(AND(C60=template_label_classified_or_sensitive_information,OR(COUNTIF(UndertakingHasACodeOfConductOrHumanRightsPolicyForItsOwnWorkforce,"&lt;&gt;")&gt;0,COUNTIF('Social Disclosures'!D180:H181,"&lt;&gt;")&gt;0,COUNTIF(TypeOfContentCoveredByTheCodeOfConductOrHumanRightsPolicyForItsOwnWorkforce,TRUE)&gt;0)),template_label_information_on_sensitive_information_before_converting,"")</f>
        <v/>
      </c>
    </row>
    <row r="61" spans="2:5" x14ac:dyDescent="0.3">
      <c r="B61" s="430" t="str">
        <f>template_label_c7_severe_negative_human_rights_incidents_validation</f>
        <v>C7 – Incidents graves en matière de droits de l’homme</v>
      </c>
      <c r="C61" s="436" t="str">
        <f>IF(D61=TRUE, template_label_classified_or_sensitive_information,
IF(
AND(
COUNTIF('Social Disclosures'!I184:I194, template_label_missing_value) &gt; 0,
COUNTIF('Social Disclosures'!I184:I194, template_label_value_inconsistency) = 0,
COUNTIF('Social Disclosures'!I184:I194, template_label_ok) &gt;= 0
),
template_label_missing_value,
IF(
AND(
COUNTIF('Social Disclosures'!I184:I194, template_label_value_inconsistency) &gt; 0,
COUNTIF('Social Disclosures'!I184:I194, template_label_missing_value) = 0,
COUNTIF('Social Disclosures'!I184:I194, template_label_ok) &gt;= 0
),
template_label_value_inconsistency,
IF(
AND(
COUNTIF('Social Disclosures'!I184:I194, template_label_value_inconsistency) &gt; 0,
COUNTIF('Social Disclosures'!I184:I194, template_label_missing_value) &gt; 0,
COUNTIF('Social Disclosures'!I184:I194, template_label_ok) &gt;= 0
),
template_label_missing_value_plus_value_inconsistency,
IF(
AND(
COUNTIF('Social Disclosures'!I184:I194, template_label_value_inconsistency) = 0,
COUNTIF('Social Disclosures'!I184:I194, template_label_missing_value) = 0,
COUNTIF('Social Disclosures'!I184:I194, template_label_ok) &gt; 0
),
template_label_ok,
"-"
)
)
))
)</f>
        <v>-</v>
      </c>
      <c r="D61" s="439" t="b">
        <v>0</v>
      </c>
      <c r="E61" s="496" t="str">
        <f>IF(AND(C61=template_label_classified_or_sensitive_information,OR(COUNTIF(UndertakingHasConfirmedHumanRightsIncidentsInItsOwnWorkforce,"&lt;&gt;")&gt;0,COUNTIF(TypeOfHumanRightRelatedToTheConfirmedIncident,TRUE)&gt;0,COUNTIF('Social Disclosures'!D191:H194,"&lt;&gt;"))),template_label_information_on_sensitive_information_before_converting,"")</f>
        <v/>
      </c>
    </row>
    <row r="62" spans="2:5" x14ac:dyDescent="0.3">
      <c r="B62" s="308" t="str">
        <f>template_label_governance_disclosures_validation</f>
        <v>Informations de gouvernance</v>
      </c>
      <c r="C62" s="437"/>
      <c r="D62" s="418"/>
      <c r="E62" s="496"/>
    </row>
    <row r="63" spans="2:5" x14ac:dyDescent="0.3">
      <c r="B63" s="307" t="str">
        <f>template_label_c8_revenues_from_certain_sectors_and_exclusion_from_eu_reference_benchmarks_validation</f>
        <v>C8 – Chiffre d’affaires de certains secteurs et exclusion des indices de référence de l’Union européenne</v>
      </c>
      <c r="C63" s="433" t="str">
        <f>IF(D63=TRUE,template_label_classified_or_sensitive_information,
IF(COUNTIF(C64:C65,template_label_error_plus_missing_value_plus_value_inconsistency)&gt;0,template_label_error_plus_missing_value_plus_value_inconsistency,
IF(COUNTIF(C64:C65,template_label_error_plus_value_inconsistency)&gt;0,template_label_error_plus_value_inconsistency,
IF(COUNTIF(C64:C65,template_label_error_plus_missing_value)&gt;0,template_label_error_plus_missing_value,
IF(COUNTIF(C64:C65,template_label_error)&gt;0,template_label_error,
IF(COUNTIF(C64:C65,template_label_missing_value_plus_value_inconsistency)&gt;0,template_label_missing_value_plus_value_inconsistency,
IF(COUNTIF(C64:C65,template_label_value_inconsistency)&gt;0,template_label_value_inconsistency,
IF(COUNTIF(C64:C65,template_label_missing_value)&gt;0,template_label_missing_value,
IF(COUNTIF(C64:C65,template_label_ok)=ROWS(C64:C65),template_label_ok,
IF(COUNTIF(C64:C65,"-")=ROWS(C64:C65),"-",
IF(AND(COUNTIF(C64:C65,template_label_ok)&gt;0,
COUNTIF(C64:C65,template_label_error_plus_missing_value_plus_value_inconsistency)=0,
COUNTIF(C64:C65,template_label_error_plus_value_inconsistency)=0,
COUNTIF(C64:C65,template_label_error_plus_missing_value)=0,
COUNTIF(C64:C65,template_label_error)=0,
COUNTIF(C64:C65,template_label_missing_value_plus_value_inconsistency)=0,
COUNTIF(C64:C65,template_label_value_inconsistency)=0,
COUNTIF(C64:C65,template_label_missing_value)=0),
template_label_ok,
"-")))))))))))</f>
        <v>-</v>
      </c>
      <c r="D63" s="438" t="b">
        <f>IF(COUNTIF(D64:D65,TRUE)=ROWS(D64:D65),TRUE,FALSE)</f>
        <v>0</v>
      </c>
      <c r="E63" s="496"/>
    </row>
    <row r="64" spans="2:5" x14ac:dyDescent="0.3">
      <c r="B64" s="427" t="str">
        <f>template_label_c8_revenues_from_certain_sectors</f>
        <v>C8 – Chiffre d’affaires de certains secteurs</v>
      </c>
      <c r="C64" s="433" t="str">
        <f>IF(D64=TRUE, template_label_classified_or_sensitive_information,
IF(COUNTIF('Governance Disclosures'!I12:I18, template_label_value_inconsistency) &gt; 0,
    template_label_value_inconsistency,
    IF(COUNTIF('Governance Disclosures'!I12:I18, template_label_ok) &gt; 0,
        template_label_ok,
        "-"))
)</f>
        <v>-</v>
      </c>
      <c r="D64" s="439" t="b">
        <v>0</v>
      </c>
      <c r="E64" s="496" t="str">
        <f>IF(AND(C64=template_label_classified_or_sensitive_information,COUNTIF('Governance Disclosures'!H10,TRUE)&gt;0),template_label_information_on_sensitive_information_before_converting,"")</f>
        <v/>
      </c>
    </row>
    <row r="65" spans="2:5" x14ac:dyDescent="0.3">
      <c r="B65" s="427" t="str">
        <f>template_label_c8_exclusion_from_eu_reference_benchmarks</f>
        <v>C8 - Exclusion des indices de référence de l’Union européenne</v>
      </c>
      <c r="C65" s="433" t="str">
        <f>IF(D65=TRUE, template_label_classified_or_sensitive_information,
IF(COUNTIF('Governance Disclosures'!I22:I26, template_label_missing_value) &gt; 0,
    template_label_missing_value,
    IF(COUNTIF('Governance Disclosures'!I22:I26, template_label_ok) &gt; 0,
        template_label_ok,
        "-"))
)</f>
        <v>-</v>
      </c>
      <c r="D65" s="439" t="b">
        <v>0</v>
      </c>
      <c r="E65" s="496" t="str">
        <f>IF(AND(C65=template_label_classified_or_sensitive_information,COUNTIF('Governance Disclosures'!H22:H26,TRUE)&gt;0),template_label_information_on_sensitive_information_before_converting,"")</f>
        <v/>
      </c>
    </row>
    <row r="66" spans="2:5" ht="15" thickBot="1" x14ac:dyDescent="0.35">
      <c r="B66" s="338" t="str">
        <f>template_label_c9_gender_diversity_ratio_in_the_governance_body_validation</f>
        <v>C9 – Ratio de mixité au sein de l’organe de gouvernance</v>
      </c>
      <c r="C66" s="433" t="str">
        <f>IF(D66=TRUE, template_label_classified_or_sensitive_information,
IF(COUNTIF('Governance Disclosures'!I31:I32, template_label_missing_value) &gt; 0,
    template_label_missing_value,
    IF(COUNTIF('Governance Disclosures'!I31:I32, template_label_ok) &gt; 0,
        template_label_ok,
        "-"))
)</f>
        <v>-</v>
      </c>
      <c r="D66" s="439" t="b">
        <v>0</v>
      </c>
      <c r="E66" s="496" t="str">
        <f>IF(AND(C66=template_label_classified_or_sensitive_information,COUNTIF('Governance Disclosures'!H30,"&lt;&gt;")&gt;0),template_label_information_on_sensitive_information_before_converting,"")</f>
        <v/>
      </c>
    </row>
    <row r="67" spans="2:5" x14ac:dyDescent="0.3">
      <c r="B67" s="378" t="str">
        <f>template_label_additional_disclosures_validation</f>
        <v>Informations supplémentaires</v>
      </c>
      <c r="C67" s="416"/>
      <c r="D67" s="440"/>
      <c r="E67" s="496"/>
    </row>
    <row r="68" spans="2:5" x14ac:dyDescent="0.3">
      <c r="B68" s="338" t="str">
        <f>template_label_disclosure_of_any_other_environmental_and_or_entity_specific_environmental_disclosures</f>
        <v>Publication de toute autre information environnementale et/ ou spécifique à l'entité</v>
      </c>
      <c r="C68" s="433" t="str">
        <f>IF(D68=TRUE, template_label_classified_or_sensitive_information,
IF('Environmental Disclosures'!M548 = template_label_ok, template_label_ok, "-")
)</f>
        <v>-</v>
      </c>
      <c r="D68" s="439" t="b">
        <v>0</v>
      </c>
      <c r="E68" s="496" t="str">
        <f>IF(AND(C68=template_label_classified_or_sensitive_information,COUNTIF(DisclosureOfAnyOtherEnvironmentalAndOrEntitySpecificEnvironmentalDisclosures,"&lt;&gt;")&gt;0),template_label_information_on_sensitive_information_before_converting,"")</f>
        <v/>
      </c>
    </row>
    <row r="69" spans="2:5" x14ac:dyDescent="0.3">
      <c r="B69" s="338" t="str">
        <f>template_label_disclosure_of_any_other_social_and_or_entity_specific_social_disclosures</f>
        <v>Publication de toute autre information sociale et/ ou spécifique à l'entité</v>
      </c>
      <c r="C69" s="433" t="str">
        <f>IF(D69=TRUE, template_label_classified_or_sensitive_information,
IF('Social Disclosures'!I200 = template_label_ok, template_label_ok, "-")
)</f>
        <v>-</v>
      </c>
      <c r="D69" s="439" t="b">
        <v>0</v>
      </c>
      <c r="E69" s="496" t="str">
        <f>IF(AND(C69=template_label_classified_or_sensitive_information,COUNTIF(DisclosureOfAnyOtherSocialAndOrEntitySpecificSocialDisclosures,"&lt;&gt;")&gt;0),template_label_information_on_sensitive_information_before_converting,"")</f>
        <v/>
      </c>
    </row>
    <row r="70" spans="2:5" ht="15" thickBot="1" x14ac:dyDescent="0.35">
      <c r="B70" s="339" t="str">
        <f>template_label_disclosure_of_any_other_governance_and_or_entity_specific_governance_disclosures</f>
        <v>Publication de toute autre information de gouvernance et/ ou spécifique à l'entité</v>
      </c>
      <c r="C70" s="431" t="str">
        <f>IF(D70=TRUE, template_label_classified_or_sensitive_information,
IF('Governance Disclosures'!I38 = template_label_ok, template_label_ok, "-")
)</f>
        <v>-</v>
      </c>
      <c r="D70" s="441" t="b">
        <v>0</v>
      </c>
      <c r="E70" s="496" t="str">
        <f>IF(AND(C70=template_label_classified_or_sensitive_information,COUNTIF(DisclosureOfAnyOtherGovernanceAndOrEntitySpecificGovernanceDisclosures,"&lt;&gt;")&gt;0),template_label_information_on_sensitive_information_before_converting,"")</f>
        <v/>
      </c>
    </row>
  </sheetData>
  <sheetProtection algorithmName="SHA-512" hashValue="VaI6ndKZzajUhHnv6cC6e1T6hs+CAfDFw1dDbkN8wZmRzo0O8qaLCiLqNa2lZQROOT3HrpMM7vS9GdHyIS9A2Q==" saltValue="VwXRk3BUAuMI4/yXdpm37g==" spinCount="100000" sheet="1" formatColumns="0" formatRows="0"/>
  <mergeCells count="2">
    <mergeCell ref="D3:D4"/>
    <mergeCell ref="B3:B4"/>
  </mergeCells>
  <conditionalFormatting sqref="B2:C2">
    <cfRule type="expression" dxfId="403" priority="392">
      <formula>B$47="INCOMPLETE"</formula>
    </cfRule>
    <cfRule type="expression" dxfId="402" priority="393">
      <formula>B$47="COMPLETE"</formula>
    </cfRule>
  </conditionalFormatting>
  <conditionalFormatting sqref="C3">
    <cfRule type="expression" dxfId="401" priority="31">
      <formula>$C$3=template_label_incomplete</formula>
    </cfRule>
    <cfRule type="expression" dxfId="400" priority="32">
      <formula>$C$3=template_label_complete</formula>
    </cfRule>
  </conditionalFormatting>
  <conditionalFormatting sqref="C6:C9 C11:C48 C50:C70">
    <cfRule type="expression" dxfId="399" priority="1">
      <formula>$C6=template_label_classified_or_sensitive_information</formula>
    </cfRule>
    <cfRule type="expression" dxfId="398" priority="22">
      <formula>$C6=template_label_value_inconsistency</formula>
    </cfRule>
    <cfRule type="expression" dxfId="397" priority="23">
      <formula>$C6=template_label_invalid_url</formula>
    </cfRule>
    <cfRule type="expression" dxfId="396" priority="24">
      <formula>$C6=template_label_error_plus_missing_value_plus_value_inconsistency</formula>
    </cfRule>
    <cfRule type="expression" dxfId="395" priority="25">
      <formula>$C6=template_label_error_plus_value_inconsistency</formula>
    </cfRule>
    <cfRule type="expression" dxfId="394" priority="26">
      <formula>$C6=template_label_error_plus_missing_value</formula>
    </cfRule>
    <cfRule type="expression" dxfId="393" priority="27">
      <formula>$C6=template_label_missing_value_plus_value_inconsistency</formula>
    </cfRule>
    <cfRule type="expression" dxfId="392" priority="28">
      <formula>$C6=template_label_missing_value</formula>
    </cfRule>
    <cfRule type="expression" dxfId="391" priority="29">
      <formula>$C6=template_label_error</formula>
    </cfRule>
    <cfRule type="expression" dxfId="390" priority="30">
      <formula>$C6=template_label_ok</formula>
    </cfRule>
  </conditionalFormatting>
  <conditionalFormatting sqref="D9:D10">
    <cfRule type="expression" dxfId="389" priority="2">
      <formula>$C9=template_label_value_inconsistency</formula>
    </cfRule>
    <cfRule type="expression" dxfId="388" priority="3">
      <formula>$C9=template_label_invalid_url</formula>
    </cfRule>
    <cfRule type="expression" dxfId="387" priority="4">
      <formula>$C9=template_label_error_plus_missing_value_plus_value_inconsistency</formula>
    </cfRule>
    <cfRule type="expression" dxfId="386" priority="5">
      <formula>$C9=template_label_error_plus_value_inconsistency</formula>
    </cfRule>
    <cfRule type="expression" dxfId="385" priority="6">
      <formula>$C9=template_label_error_plus_missing_value</formula>
    </cfRule>
    <cfRule type="expression" dxfId="384" priority="7">
      <formula>$C9=template_label_missing_value_plus_value_inconsistency</formula>
    </cfRule>
    <cfRule type="expression" dxfId="383" priority="8">
      <formula>$C9=template_label_missing_value</formula>
    </cfRule>
    <cfRule type="expression" dxfId="382" priority="9">
      <formula>$C9=template_label_error</formula>
    </cfRule>
    <cfRule type="expression" dxfId="381" priority="10">
      <formula>$C9=template_label_ok</formula>
    </cfRule>
  </conditionalFormatting>
  <conditionalFormatting sqref="D19">
    <cfRule type="expression" dxfId="380" priority="11">
      <formula>$C19=template_label_value_inconsistency</formula>
    </cfRule>
    <cfRule type="expression" dxfId="379" priority="12">
      <formula>$C19=template_label_invalid_url</formula>
    </cfRule>
    <cfRule type="expression" dxfId="378" priority="13">
      <formula>$C19=template_label_error_plus_missing_value_plus_value_inconsistency</formula>
    </cfRule>
    <cfRule type="expression" dxfId="377" priority="14">
      <formula>$C19=template_label_error_plus_value_inconsistency</formula>
    </cfRule>
    <cfRule type="expression" dxfId="376" priority="15">
      <formula>$C19=template_label_error_plus_missing_value</formula>
    </cfRule>
    <cfRule type="expression" dxfId="375" priority="16">
      <formula>$C19=template_label_missing_value_plus_value_inconsistency</formula>
    </cfRule>
    <cfRule type="expression" dxfId="374" priority="17">
      <formula>$C19=template_label_missing_value</formula>
    </cfRule>
    <cfRule type="expression" dxfId="373" priority="18">
      <formula>$C19=template_label_error</formula>
    </cfRule>
    <cfRule type="expression" dxfId="372" priority="19">
      <formula>$C19=template_label_ok</formula>
    </cfRule>
  </conditionalFormatting>
  <hyperlinks>
    <hyperlink ref="B6" location="template_information_on_the_report_necessary_for_XBRL" display="· Information on the report necessary for  XBRL" xr:uid="{25A267B9-423F-42B5-B3B3-D5E1CEF1CCD2}"/>
    <hyperlink ref="B5" location="'General Information'!A1" display="General Information" xr:uid="{3BFB2E8E-B9D3-4E7A-BF18-C16AACDE335C}"/>
    <hyperlink ref="B8" location="template_information_on_previous_reporting_period" display="· Information on previous reporting period" xr:uid="{A7B7970B-B829-4E06-98AB-137CDC76DA3F}"/>
    <hyperlink ref="B11" location="template_b1_basis_for_preparation_and_other_undertakings_general_information" display="· B1 - Basis for Preparation" xr:uid="{D3B8ECC2-14C0-4EF6-8D88-0E701043E936}"/>
    <hyperlink ref="B14" location="template_b1_list_of_subsidiaries" display="             List of subsidiaries" xr:uid="{9EAA5EF6-131F-42F1-9145-55B580C93404}"/>
    <hyperlink ref="B15" location="template_b1_disclosure_of_sustainability_related_certifications_or_labels" display="             Disclosure of sustainability-related certification(s) or label(s)" xr:uid="{4D19F8C5-01A7-4A79-B8B9-BD32706D0E62}"/>
    <hyperlink ref="B16" location="template_b1_list_of_sites" display="             List of site(s)" xr:uid="{D243425C-ED64-484D-A378-BCE59FEA1CCA}"/>
    <hyperlink ref="B17" location="template_b2_practices_policies_and_future_initiatives_for_transitioning_towards_a_more_sustainable_economy" display="             Practices, policies and future initiatives for transitioning towards a more sustainable economy" xr:uid="{7FBE981F-5786-4A7C-A533-0218F6C159B3}"/>
    <hyperlink ref="B18" location="template_b2_cooperative_specific_disclosures" display="             Cooperative specific disclosures" xr:uid="{DD0201D3-4CEF-4426-A12D-90862DD79EFB}"/>
    <hyperlink ref="B50" location="template_c1_strategy_business_model_and_sustainability" display="· C1 - Strategy: Business Model and Sustainability – Related Initiatives" xr:uid="{A970C105-76A8-40CF-A869-573C4F419725}"/>
    <hyperlink ref="B51" location="template_c2_description_of_practices_policies_and_future_initiatives_for_transitioning_towards_a_more_sustainable_economy" display="· C2 - Description of practices, policies and future initiatives for transitioning towards a more sustainable economy" xr:uid="{4D6F90F8-3C8A-4FDC-B1E6-ED7043476E17}"/>
    <hyperlink ref="B52" location="'Environmental Disclosures'!A1" display="Environmental Disclosures" xr:uid="{10462CBF-ABB9-48E1-BEB6-C8118F1D11E7}"/>
    <hyperlink ref="B20" location="template_b3_total_energy_consumption_in_MWh" display="· B3 - Energy and greenhouse gas emissions" xr:uid="{08781854-D699-4BBB-904F-9F167F4BC7F5}"/>
    <hyperlink ref="B21" location="template_b3_total_energy_consumption_in_MWh" display="              Total Energy Consumption (in MWh)" xr:uid="{5B575D7E-E621-4CB5-AA93-723609F4A6A2}"/>
    <hyperlink ref="B22" location="template_b3_breakdown_of_energy_consumption_in_MWh" display="              Breakdown of energy consumption (in MWh)" xr:uid="{BE17BD15-69F9-4526-83D2-A71BB8432726}"/>
    <hyperlink ref="B23" location="template_b3_estimated_greenhouse_gas_emissions_considering_the_GHG_protocol_version_2004_in_tCO2e" display="              Estimated Greenhouse Gas Emissions considering the GHG Protocol Version 2004 (in tCO2e)" xr:uid="{D4732330-7C7D-4BC6-82F9-4BAE89A1C083}"/>
    <hyperlink ref="B24" location="template_b3_greenhouse_gas_emission_intensity_per_turnover" display="              Greenhouse gas emission intensity per turnover" xr:uid="{F20C845F-7C19-41D5-A6FD-766FD2E21E04}"/>
    <hyperlink ref="B25" location="template_b4_pollution_of_air_water_and_soil" display="· B4 - Pollution of air, water and soil" xr:uid="{A24D3F48-4D25-4A4D-A316-26A850E78206}"/>
    <hyperlink ref="B26" location="template_B5_sites_in_biodiversity_sensitive_areas" display="· B5 - Biodiversity" xr:uid="{B9BF6D98-8A08-4FA1-B30B-FFEC7C32F3DA}"/>
    <hyperlink ref="B27" location="template_B5_sites_in_biodiversity_sensitive_areas" display="             Sites in biodiversity sensitive areas" xr:uid="{26124F05-E905-448A-9BA5-5DB7BB12E703}"/>
    <hyperlink ref="B28" location="template_b5_biodiversity_land_use" display="             Biodiversity - Land-use" xr:uid="{4A12F42D-8678-45FB-A4B6-98BAF48740A7}"/>
    <hyperlink ref="B29" location="template_b6_water_withdrawal" display="· B6 - Water" xr:uid="{30924859-42AD-4793-BB93-4D15632E75FB}"/>
    <hyperlink ref="B30" location="template_b6_water_withdrawal" display="              Water Withdrawal" xr:uid="{15F35FEF-ED86-4242-BBB3-A19B3AE7F39B}"/>
    <hyperlink ref="B31" location="template_b6_water_consumption" display="              Water Consumption" xr:uid="{1A5C0D0C-A5AD-4D6D-8842-164CB4995CF0}"/>
    <hyperlink ref="B32" location="template_b7_description_of_circular_economy_principles" display="· B7 - Resource use, circular economy and waste management" xr:uid="{E73F13C7-0475-49C2-8004-4B82FA915BBF}"/>
    <hyperlink ref="B33" location="template_b7_description_of_circular_economy_principles" display="               Description of circular economy principles" xr:uid="{D81C731F-C208-41C3-A3C2-15BDAD9FB28C}"/>
    <hyperlink ref="B34" location="template_b7_waste_generated" display="               Waste generated" xr:uid="{4C54828D-61E5-4A13-82DB-6726CB12D26D}"/>
    <hyperlink ref="B35" location="template_b7_annual_mass_flow_of_relevant_materials_used" display="               Annual mass-flow of relevant materials used" xr:uid="{C74D5ECF-F326-4ABD-ACF2-78AC53914DE4}"/>
    <hyperlink ref="B53" location="template_c3_GHG_reduction_targets_in_tC02e" display="· C3 - GHG reduction targets and climate transition" xr:uid="{848C6734-27F4-49E8-9FCC-08706070E8A6}"/>
    <hyperlink ref="B54" location="template_c3_GHG_reduction_targets_in_tC02e" display="              GHG reduction targets (in tC02e)" xr:uid="{03F78659-15D3-426B-904F-EB997820F373}"/>
    <hyperlink ref="B55" location="template_c3_disclosure_of_list_of_main_actions_the_entity_seeks_in_order_to_achieve_its_targets" display="              Disclosure of list of main actions the entity seeks in order  to achieve its targets" xr:uid="{7736370F-5B99-4C0B-90FC-4925E5CC7276}"/>
    <hyperlink ref="B56" location="template_c3_transition_plan_for_undertakings_operating_in_high_climate_impact_sectors" display="              Transition plan for undertakings operating in high climate impact sectors" xr:uid="{9B00468F-D916-42FC-9DB7-512FE564EB6B}"/>
    <hyperlink ref="B57" location="template_c4_climate_risks" display="· C4 - Climate risks" xr:uid="{9A4CE9A4-48DE-4DCC-AA6A-C83BB13ECA6E}"/>
    <hyperlink ref="B58" location="'Social Disclosures'!A1" display="Social Disclosures" xr:uid="{664E23E3-4976-47A2-9233-8DBF4A2B0004}"/>
    <hyperlink ref="B37" location="template_b8_workforce_general_characteristics_type_of_contract" display="· B8 - Workforce - General characteristics" xr:uid="{319673CB-05CE-4E03-98D7-7EFA767A760B}"/>
    <hyperlink ref="B38" location="template_b8_workforce_general_characteristics_type_of_contract" display="              Type of contract" xr:uid="{EF6C1F60-CB03-481A-9593-49F09F25E273}"/>
    <hyperlink ref="B39" location="template_b8_workforce_general_characteristics_gender" display="              Gender" xr:uid="{553B08BC-0FC3-432D-B82C-D06226579BD6}"/>
    <hyperlink ref="B40" location="template_b8_workforce_general_characteristics_country_of_employment" display="              Country of employment" xr:uid="{33734E25-2845-4F90-BCB6-E86394EDCA24}"/>
    <hyperlink ref="B41" location="template_b8_workforce_general_characteristics_turnover_rate" display="              Turnover rate" xr:uid="{F6700308-E350-44BD-87E8-4DF952C410CB}"/>
    <hyperlink ref="B42" location="template_b9_workforce_health_and_safety" display="· B9 - Workforce – Health and safety" xr:uid="{A5F3F6AC-150A-4651-8667-6E55FFE385E3}"/>
    <hyperlink ref="B43" location="template_b10_workforce_remuneration_collective_bargaining_and_training" display="· B10 - Workforce – Remuneration, collective bargaining and training " xr:uid="{C3EDD6ED-F5ED-423B-BE89-F63385BBF4A9}"/>
    <hyperlink ref="B59" location="template_c5_additional_general_workforce_characteristics" display="· C5 - Additional (general) workforce characteristics" xr:uid="{12A6D13C-E762-49D9-B9D9-FF10B30E5074}"/>
    <hyperlink ref="B60" location="template_c6_additional_own_workforce_information_human_rights_policies_and_processes" display="· C6 - Additional own workforce information - Human rights policies and processes" xr:uid="{ADA01F7E-1E23-46D3-A6C5-180A4471A463}"/>
    <hyperlink ref="B61" location="template_c7_severe_negative_human_rights_incidents" display="· C7 - Severe negative human rights incidents" xr:uid="{94D3FF8D-39DA-47EF-8F8C-21118A7AC765}"/>
    <hyperlink ref="B69" location="template_disclosure_of_any_other_social_and_or_entity_specific_social_disclosures" display="· Disclosure of any other social and/or entity specific social disclosures" xr:uid="{C461AEC8-E547-4D3E-985E-464AE7DE0614}"/>
    <hyperlink ref="B62" location="'Governance Disclosures'!A1" display="Governance Disclosures" xr:uid="{DB065620-D288-425D-A3F6-B94563629CD2}"/>
    <hyperlink ref="B47" location="template_b11_convictions_and_fines_for_corruption_and_bribery" display="· B11 - Convictions and fines for corruption and bribery" xr:uid="{DCDB2FE8-D2A1-470C-AEE7-1A53DE3C6A56}"/>
    <hyperlink ref="B63" location="template_c8_revenues_from_certain_sectors" display="· C8 - Revenues from certain sectors and exclusion from EU reference benchmarks" xr:uid="{9A39A97B-59DF-4A64-9184-E8CE24890C97}"/>
    <hyperlink ref="B64" location="template_c8_revenues_from_certain_sectors" display="              Revenues from certain sectors" xr:uid="{C95EF8C3-FA9B-4CEE-8D33-44BBFD20DB8E}"/>
    <hyperlink ref="B65" location="template_c8_exclusion_from_EU_reference_benchmarks" display="              Exclusion from EU reference benchmarks" xr:uid="{686FE336-7658-4083-B1D8-2A0952B0A262}"/>
    <hyperlink ref="B66" location="template_c9_gender_diversity_ratio_in_the_governance_body" display="· C9 - Gender diversity ratio in the governance body" xr:uid="{8744655C-A8E1-41B4-9ACB-ED49B581199E}"/>
    <hyperlink ref="B70" location="template_disclosure_of_any_other_governance_and_or_entity_specific_governance_disclosures" display="· Disclosure of any other governance and/or entity specific governance disclosures" xr:uid="{A24B95B2-E94D-40C8-8CF7-1A8C1D3E88B4}"/>
    <hyperlink ref="B10" location="'General Information'!A1" display="General Information" xr:uid="{8E3A83E8-4322-4B9A-8B41-51DE5C1FB320}"/>
    <hyperlink ref="B49" location="'General Information'!A1" display="General Information" xr:uid="{8D1A7217-DD9F-4D14-8E62-DF0CE7521CD6}"/>
    <hyperlink ref="B36" location="'Social Disclosures'!A1" display="Social Disclosures" xr:uid="{5005ADE5-99EC-42B4-8AAE-6D7FF266EFE1}"/>
    <hyperlink ref="B46" location="'Governance Disclosures'!A1" display="Governance Disclosures" xr:uid="{3A78DB22-3150-4E53-A3E3-AF5505C487EE}"/>
    <hyperlink ref="B19" location="'Environmental Disclosures'!A1" display="Environmental Disclosures" xr:uid="{7718B422-B5A6-477E-8388-A9804BDB4D4F}"/>
    <hyperlink ref="B44" location="template_b10_workforce_remuneration_collective_bargaining_and_training" display="template_b10_workforce_remuneration_collective_bargaining_and_training" xr:uid="{203BC68F-FB2B-4D06-88CB-1719EC4A5A0E}"/>
    <hyperlink ref="B45" location="template_b10_workforce_number_of_training" display="template_b10_workforce_number_of_training" xr:uid="{7A83DE48-ECCD-4CDC-96C4-FE6FEFA66522}"/>
    <hyperlink ref="B12" location="template_b1_basis_for_preparation" display="template_b1_basis_for_preparation" xr:uid="{DCB9EB33-29ED-498C-82CC-F099A7297C4E}"/>
    <hyperlink ref="B13" location="template_b1_other_undertakings_general_information" display="template_b1_other_undertakings_general_information" xr:uid="{86A71077-5E3D-4DEE-8A72-EAAE1FBB0A0F}"/>
    <hyperlink ref="B68" location="template_disclosure_of_any_other_environmental_and_or_entity_specific_enviromental_disclosures" display="· Disclosure of any other environmental and/or entity specific enviromental disclosures" xr:uid="{3B30C8FE-FF9E-4311-9E4E-4FDD869D911E}"/>
  </hyperlinks>
  <pageMargins left="0.7" right="0.7"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67E04-6DA5-4708-A51E-89E844EF3733}">
  <sheetPr codeName="Sheet2"/>
  <dimension ref="A1:Q531"/>
  <sheetViews>
    <sheetView showGridLines="0" zoomScaleNormal="100" workbookViewId="0"/>
  </sheetViews>
  <sheetFormatPr baseColWidth="10" defaultColWidth="8.88671875" defaultRowHeight="14.4" outlineLevelRow="2" x14ac:dyDescent="0.3"/>
  <cols>
    <col min="1" max="1" width="10.33203125" bestFit="1" customWidth="1"/>
    <col min="2" max="2" width="10" bestFit="1" customWidth="1"/>
    <col min="3" max="3" width="54.88671875" customWidth="1"/>
    <col min="4" max="4" width="56.33203125" customWidth="1"/>
    <col min="5" max="5" width="41.33203125" customWidth="1"/>
    <col min="6" max="6" width="31.6640625" style="2" customWidth="1"/>
    <col min="7" max="7" width="13.5546875" bestFit="1" customWidth="1"/>
    <col min="8" max="8" width="91.6640625" customWidth="1"/>
    <col min="9" max="9" width="13.33203125" customWidth="1"/>
    <col min="10" max="10" width="25.6640625" bestFit="1" customWidth="1"/>
    <col min="11" max="11" width="43.5546875" bestFit="1" customWidth="1"/>
    <col min="12" max="12" width="11" customWidth="1"/>
    <col min="13" max="13" width="8.6640625" customWidth="1"/>
    <col min="14" max="14" width="24" customWidth="1"/>
    <col min="15" max="15" width="15.5546875" customWidth="1"/>
    <col min="16" max="16" width="58" customWidth="1"/>
    <col min="17" max="17" width="34.5546875" customWidth="1"/>
    <col min="18" max="18" width="25" customWidth="1"/>
  </cols>
  <sheetData>
    <row r="1" spans="1:12" ht="43.8" thickBot="1" x14ac:dyDescent="0.35">
      <c r="A1" s="379" t="str">
        <f>template_label_paragraph_reference</f>
        <v>Référence de paragraphe</v>
      </c>
      <c r="B1" s="379" t="str">
        <f>template_label_paragraph_guidance_reference</f>
        <v>Référence de paragraphe des orientations</v>
      </c>
    </row>
    <row r="2" spans="1:12" ht="14.4" customHeight="1" thickBot="1" x14ac:dyDescent="0.35">
      <c r="B2" s="81"/>
      <c r="C2" s="697" t="str">
        <f>template_label_information_on_the_report_necessary_for_xbrl &amp; " " &amp; template_label_always_to_be_reported</f>
        <v xml:space="preserve">Informations sur le rapport nécessaires pour XBRL [Toujours à reporter] 
</v>
      </c>
      <c r="D2" s="697"/>
      <c r="E2" s="698"/>
    </row>
    <row r="3" spans="1:12" ht="14.4" customHeight="1" x14ac:dyDescent="0.3">
      <c r="B3" s="81"/>
      <c r="C3" s="408" t="str">
        <f>template_label_name_of_the_reporting_entity</f>
        <v xml:space="preserve">Nom de l'entreprise déclarante
</v>
      </c>
      <c r="D3" s="706"/>
      <c r="E3" s="707"/>
      <c r="F3" s="11" t="str">
        <f>IF(D3 = "", template_label_missing_value, template_label_ok)</f>
        <v>VALEUR MANQUANTE</v>
      </c>
    </row>
    <row r="4" spans="1:12" ht="14.4" customHeight="1" x14ac:dyDescent="0.3">
      <c r="B4" s="81"/>
      <c r="C4" s="109" t="str">
        <f>template_label_identifier_of_the_reporting_entity</f>
        <v>Identifiant de l'entreprise déclarante (sélectionnez et spécifiez à droite)</v>
      </c>
      <c r="D4" s="316"/>
      <c r="E4" s="50"/>
      <c r="F4" s="11" t="str">
        <f>IF(OR(D4 = "", E4 = ""), template_label_missing_value, template_label_ok)</f>
        <v>VALEUR MANQUANTE</v>
      </c>
      <c r="G4" t="str">
        <f>template_label_identifier_warning</f>
        <v>ℹ️ L'identifiant de l'entreprise est un ID unique qui permet d'identifier l'entreprise ayant fourni les informations. La norme VSME ne requiert aucun identifiant spécifique. Un identifiant d'entreprise est nécessaire pour le reporting numérique.</v>
      </c>
    </row>
    <row r="5" spans="1:12" ht="14.4" customHeight="1" thickBot="1" x14ac:dyDescent="0.35">
      <c r="C5" s="5" t="str">
        <f>template_label_currency_of_the_monetary_values_in_the_report</f>
        <v>Devise utilisée pour les valeurs monétaires dans le rapport</v>
      </c>
      <c r="D5" s="708"/>
      <c r="E5" s="709"/>
      <c r="F5" s="11" t="str">
        <f>IF(D5 = "", template_label_missing_value, template_label_ok)</f>
        <v>VALEUR MANQUANTE</v>
      </c>
      <c r="H5" s="46"/>
    </row>
    <row r="6" spans="1:12" ht="14.4" customHeight="1" x14ac:dyDescent="0.3">
      <c r="C6" s="211" t="str">
        <f>template_label_starting_year</f>
        <v>Année de début</v>
      </c>
      <c r="D6" s="686"/>
      <c r="E6" s="687"/>
      <c r="F6" s="693" t="str">
        <f>IF(OR(D6 = "", D7 = "", D8 = ""),
    template_label_missing_value,
    IF(OR(
        AND(D7 = 2, D8 &gt; 29),
        AND(D7 = 2, D8 = 29, NOT(AND(MOD(D6, 4) = 0, OR(MOD(D6, 100) &lt;&gt; 0, MOD(D6, 400) = 0)))),
        AND(OR(D7 = 4, D7 = 6, D7 = 9, D7 = 11), D8 = 31)
    ),
        template_label_error,
        IF(F10 = template_label_value_inconsistency, template_label_value_inconsistency, template_label_ok)
    )
)</f>
        <v>VALEUR MANQUANTE</v>
      </c>
      <c r="G6" s="681" t="str">
        <f>template_label_date_warning</f>
        <v>ℹ️ Si un message VALEUR INCOHERENTE apparaît à droite, veuillez vous assurer que la date de fin de la période de reporting est postérieure à la date de début de la période de reporting.</v>
      </c>
      <c r="H6" s="681"/>
      <c r="I6" s="681"/>
      <c r="J6" s="681"/>
      <c r="K6" s="681"/>
    </row>
    <row r="7" spans="1:12" ht="14.4" customHeight="1" x14ac:dyDescent="0.3">
      <c r="C7" s="119" t="str">
        <f>template_label_starting_month</f>
        <v>Mois de début</v>
      </c>
      <c r="D7" s="710"/>
      <c r="E7" s="711"/>
      <c r="F7" s="693"/>
      <c r="G7" s="681"/>
      <c r="H7" s="681"/>
      <c r="I7" s="681"/>
      <c r="J7" s="681"/>
      <c r="K7" s="681"/>
    </row>
    <row r="8" spans="1:12" ht="14.4" customHeight="1" x14ac:dyDescent="0.3">
      <c r="C8" s="119" t="str">
        <f>template_label_starting_day</f>
        <v>Jour de début</v>
      </c>
      <c r="D8" s="712"/>
      <c r="E8" s="713"/>
      <c r="F8" s="693"/>
      <c r="G8" s="681"/>
      <c r="H8" s="681"/>
      <c r="I8" s="681"/>
      <c r="J8" s="681"/>
      <c r="K8" s="681"/>
    </row>
    <row r="9" spans="1:12" ht="14.4" customHeight="1" thickBot="1" x14ac:dyDescent="0.35">
      <c r="C9" s="106" t="str">
        <f>template_label_reporting_period_start_date</f>
        <v>Date de début de la période de reporting (aaaa-mm-jj)</v>
      </c>
      <c r="D9" s="684" t="str">
        <f>IF(OR(ISBLANK(D6), ISBLANK(D7), ISBLANK(D8)), "-", D6 &amp; "-" &amp; TEXT(D7, "00") &amp; "-" &amp; TEXT(D8, "00"))</f>
        <v>-</v>
      </c>
      <c r="E9" s="685"/>
      <c r="F9"/>
      <c r="H9" s="46"/>
    </row>
    <row r="10" spans="1:12" ht="14.4" customHeight="1" x14ac:dyDescent="0.3">
      <c r="C10" s="211" t="str">
        <f>template_label_ending_year</f>
        <v xml:space="preserve">Année de fin
</v>
      </c>
      <c r="D10" s="686"/>
      <c r="E10" s="687"/>
      <c r="F10" s="693" t="str">
        <f>IF(OR(D10 = "", D11 = "", D12 = ""), template_label_missing_value,
IF(OR(
   AND(D11 = 2, D12 &gt; 29),
   AND(D11 = 2, D12 = 29, NOT(AND(MOD(D10, 4) = 0, OR(MOD(D10, 100) &lt;&gt; 0, MOD(D10, 400) = 0)))),
   AND(OR(D11 = 4, D11 = 6, D11 = 9, D11 = 11), D12 = 31)
), template_label_error,
IF(D10 &lt; D6, template_label_value_inconsistency,
IF(D10 &gt; D6, template_label_ok,
IF(AND(D10 = D6,
MATCH(D11, {1;2;3;4;5;6;7;8;9;10;11;12}, 0) &lt;
MATCH(D7, {1;2;3;4;5;6;7;8;9;10;11;12}, 0)),
template_label_value_inconsistency,
IF(AND(D10 = D6,
MATCH(D11, {1;2;3;4;5;6;7;8;9;10;11;12}, 0) &gt;
MATCH(D7, {1;2;3;4;5;6;7;8;9;10;11;12}, 0)),
template_label_ok,
IF(AND(D10 = D6,
MATCH(D11, {1;2;3;4;5;6;7;8;9;10;11;12}, 0) =
MATCH(D7, {1;2;3;4;5;6;7;8;9;10;11;12}, 0),
D12 &lt; D8),
template_label_value_inconsistency,
template_label_ok
)))))))</f>
        <v>VALEUR MANQUANTE</v>
      </c>
      <c r="G10" s="681" t="str">
        <f>template_label_date_warning</f>
        <v>ℹ️ Si un message VALEUR INCOHERENTE apparaît à droite, veuillez vous assurer que la date de fin de la période de reporting est postérieure à la date de début de la période de reporting.</v>
      </c>
      <c r="H10" s="681"/>
      <c r="I10" s="681"/>
      <c r="J10" s="681"/>
      <c r="K10" s="681"/>
    </row>
    <row r="11" spans="1:12" ht="14.4" customHeight="1" x14ac:dyDescent="0.3">
      <c r="C11" s="119" t="str">
        <f>template_label_ending_month</f>
        <v>Mois de fin</v>
      </c>
      <c r="D11" s="688"/>
      <c r="E11" s="689"/>
      <c r="F11" s="693"/>
      <c r="G11" s="681"/>
      <c r="H11" s="681"/>
      <c r="I11" s="681"/>
      <c r="J11" s="681"/>
      <c r="K11" s="681"/>
    </row>
    <row r="12" spans="1:12" ht="14.4" customHeight="1" x14ac:dyDescent="0.3">
      <c r="C12" s="119" t="s">
        <v>6</v>
      </c>
      <c r="D12" s="690"/>
      <c r="E12" s="691"/>
      <c r="F12" s="693"/>
      <c r="G12" s="681"/>
      <c r="H12" s="681"/>
      <c r="I12" s="681"/>
      <c r="J12" s="681"/>
      <c r="K12" s="681"/>
    </row>
    <row r="13" spans="1:12" ht="14.4" customHeight="1" thickBot="1" x14ac:dyDescent="0.35">
      <c r="B13" s="81"/>
      <c r="C13" s="106" t="str">
        <f>template_label_reporting_period_end_date</f>
        <v>Date de fin de la période de reporting (aaaa-mm-jj)</v>
      </c>
      <c r="D13" s="684" t="str">
        <f>IF(OR(ISBLANK(D10), ISBLANK(D11), ISBLANK(D12)), "-", D10 &amp; "-" &amp; TEXT(D11, "00") &amp; "-" &amp; TEXT(D12, "00"))</f>
        <v>-</v>
      </c>
      <c r="E13" s="685"/>
      <c r="F13" s="11"/>
    </row>
    <row r="14" spans="1:12" ht="15" thickBot="1" x14ac:dyDescent="0.35">
      <c r="B14" s="81"/>
      <c r="C14" s="82"/>
      <c r="D14" s="82"/>
      <c r="E14" s="83"/>
      <c r="F14" s="11"/>
    </row>
    <row r="15" spans="1:12" ht="14.85" customHeight="1" thickBot="1" x14ac:dyDescent="0.35">
      <c r="C15" s="694" t="str">
        <f xml:space="preserve"> template_label_introduction &amp; ": " &amp; template_label_disclosure_of_any_other_general_and_or_entity_specific_information_on_the_reporting_period &amp; " " &amp; template_label_from &amp; " " &amp; template_starting_date_display &amp; " " &amp; template_label_to &amp; " " &amp; template_ending_date_display &amp; " " &amp; template_label_may</f>
        <v>Introduction: publication de toute autre information générale et/ou spécifique à l’entité du - au - [peut (facultatif)]</v>
      </c>
      <c r="D15" s="695"/>
      <c r="E15" s="696"/>
      <c r="F15" s="10"/>
      <c r="G15" s="10"/>
      <c r="H15" s="10"/>
      <c r="I15" s="10"/>
      <c r="J15" s="10"/>
      <c r="K15" s="10"/>
      <c r="L15" s="10"/>
    </row>
    <row r="16" spans="1:12" ht="14.85" customHeight="1" x14ac:dyDescent="0.3">
      <c r="C16" s="616">
        <v>10</v>
      </c>
      <c r="D16" s="617"/>
      <c r="E16" s="618"/>
      <c r="F16" s="10"/>
      <c r="G16" s="10"/>
      <c r="H16" s="10"/>
      <c r="I16" s="10"/>
      <c r="J16" s="10"/>
      <c r="K16" s="10"/>
      <c r="L16" s="10"/>
    </row>
    <row r="17" spans="2:7" ht="15" customHeight="1" thickBot="1" x14ac:dyDescent="0.35">
      <c r="C17" s="619"/>
      <c r="D17" s="620"/>
      <c r="E17" s="621"/>
      <c r="F17" s="15" t="str">
        <f>IF(C17&lt;&gt;"", template_label_ok, "")</f>
        <v/>
      </c>
    </row>
    <row r="18" spans="2:7" ht="15" customHeight="1" thickBot="1" x14ac:dyDescent="0.35">
      <c r="B18" s="81"/>
    </row>
    <row r="19" spans="2:7" ht="15" thickBot="1" x14ac:dyDescent="0.35">
      <c r="B19" s="81"/>
      <c r="C19" s="700" t="str">
        <f>template_label_information_on_previous_reporting_period</f>
        <v>Informations sur la période de reporting précédente</v>
      </c>
      <c r="D19" s="700"/>
      <c r="E19" s="701"/>
    </row>
    <row r="20" spans="2:7" x14ac:dyDescent="0.3">
      <c r="B20" s="81"/>
      <c r="C20" s="704">
        <v>16</v>
      </c>
      <c r="D20" s="704"/>
      <c r="E20" s="705"/>
      <c r="F20" s="212"/>
    </row>
    <row r="21" spans="2:7" ht="14.4" customHeight="1" x14ac:dyDescent="0.3">
      <c r="C21" s="703" t="str">
        <f>template_label_disclosures_from_the_previous_reporting_period_that_remain_unchanged</f>
        <v>Ce rapport contient des informations de la période de reporting précédente qui restent inchangées.</v>
      </c>
      <c r="D21" s="703"/>
      <c r="E21" s="51" t="b">
        <v>0</v>
      </c>
      <c r="F21" s="11" t="str">
        <f>IF(E21 = FALSE, "", template_label_ok)</f>
        <v/>
      </c>
    </row>
    <row r="22" spans="2:7" ht="14.4" customHeight="1" x14ac:dyDescent="0.3">
      <c r="C22" s="692" t="str">
        <f>template_label_disclosures_for_which_no_changes_are_reported_compared_to_the_previous_period_reporting</f>
        <v>Liste des informations pour lesquelles aucun changement n’est signalé par rapport à la période de reporting précédente</v>
      </c>
      <c r="D22" s="692"/>
      <c r="E22" s="52"/>
      <c r="F22" s="11" t="str">
        <f>IF(AND(E21 = FALSE, E22 = ""), "",
IF(AND(E21 = FALSE, E22 &lt;&gt; ""), "",
IF(AND(E21 = TRUE, E22 = ""), template_label_missing_value,
IF(AND(E21 = TRUE, E22 &lt;&gt; "", COUNTIF(E22:E121, E22) = COUNTA(E22:E121), COUNTA(E22:E121) &gt; 1), template_label_value_inconsistency,
template_label_ok))))</f>
        <v/>
      </c>
      <c r="G22" t="str">
        <f>template_label_additional_rows_warning</f>
        <v>ℹ️Les listes peuvent être déroulées à l’aide du bouton plus [+] situé à gauche. Si le nombre de lignes n’est pas suffisant, des lignes supplémentaires peuvent être ajoutées en cliquant avec le bouton droit sur la deuxième ligne et en sélectionnant « Insérer une ligne ».</v>
      </c>
    </row>
    <row r="23" spans="2:7" ht="14.4" customHeight="1" x14ac:dyDescent="0.3">
      <c r="C23" s="692"/>
      <c r="D23" s="692"/>
      <c r="E23" s="53"/>
      <c r="F23" s="11" t="str">
        <f t="shared" ref="F23:F30" si="0">IF($E$21 = FALSE, "",
IF(E23 = "", "",
IF(COUNTIF($E$22:$E$121, E23) &gt; 1, template_label_value_inconsistency, template_label_ok)))</f>
        <v/>
      </c>
    </row>
    <row r="24" spans="2:7" ht="14.4" customHeight="1" x14ac:dyDescent="0.3">
      <c r="C24" s="692"/>
      <c r="D24" s="692"/>
      <c r="E24" s="53"/>
      <c r="F24" s="11" t="str">
        <f t="shared" si="0"/>
        <v/>
      </c>
    </row>
    <row r="25" spans="2:7" ht="14.4" hidden="1" customHeight="1" outlineLevel="2" x14ac:dyDescent="0.3">
      <c r="C25" s="692"/>
      <c r="D25" s="692"/>
      <c r="E25" s="53"/>
      <c r="F25" s="11" t="str">
        <f t="shared" si="0"/>
        <v/>
      </c>
    </row>
    <row r="26" spans="2:7" ht="14.4" hidden="1" customHeight="1" outlineLevel="2" thickBot="1" x14ac:dyDescent="0.35">
      <c r="C26" s="692"/>
      <c r="D26" s="692"/>
      <c r="E26" s="53"/>
      <c r="F26" s="11" t="str">
        <f t="shared" si="0"/>
        <v/>
      </c>
    </row>
    <row r="27" spans="2:7" ht="14.4" hidden="1" customHeight="1" outlineLevel="2" thickBot="1" x14ac:dyDescent="0.35">
      <c r="C27" s="692"/>
      <c r="D27" s="692"/>
      <c r="E27" s="53"/>
      <c r="F27" s="11" t="str">
        <f t="shared" si="0"/>
        <v/>
      </c>
    </row>
    <row r="28" spans="2:7" ht="14.4" hidden="1" customHeight="1" outlineLevel="2" thickBot="1" x14ac:dyDescent="0.35">
      <c r="C28" s="692"/>
      <c r="D28" s="692"/>
      <c r="E28" s="53"/>
      <c r="F28" s="11" t="str">
        <f t="shared" si="0"/>
        <v/>
      </c>
    </row>
    <row r="29" spans="2:7" ht="14.4" hidden="1" customHeight="1" outlineLevel="2" thickBot="1" x14ac:dyDescent="0.35">
      <c r="C29" s="692"/>
      <c r="D29" s="692"/>
      <c r="E29" s="53"/>
      <c r="F29" s="11" t="str">
        <f t="shared" si="0"/>
        <v/>
      </c>
    </row>
    <row r="30" spans="2:7" ht="14.4" hidden="1" customHeight="1" outlineLevel="2" thickBot="1" x14ac:dyDescent="0.35">
      <c r="C30" s="692"/>
      <c r="D30" s="692"/>
      <c r="E30" s="53"/>
      <c r="F30" s="11" t="str">
        <f t="shared" si="0"/>
        <v/>
      </c>
    </row>
    <row r="31" spans="2:7" ht="14.4" hidden="1" customHeight="1" outlineLevel="2" thickBot="1" x14ac:dyDescent="0.35">
      <c r="C31" s="692"/>
      <c r="D31" s="692"/>
      <c r="E31" s="53"/>
      <c r="F31" s="11"/>
    </row>
    <row r="32" spans="2:7" ht="14.4" hidden="1" customHeight="1" outlineLevel="2" thickBot="1" x14ac:dyDescent="0.35">
      <c r="C32" s="692"/>
      <c r="D32" s="692"/>
      <c r="E32" s="53"/>
      <c r="F32" s="11"/>
    </row>
    <row r="33" spans="3:6" ht="14.4" hidden="1" customHeight="1" outlineLevel="2" thickBot="1" x14ac:dyDescent="0.35">
      <c r="C33" s="692"/>
      <c r="D33" s="692"/>
      <c r="E33" s="53"/>
      <c r="F33" s="11"/>
    </row>
    <row r="34" spans="3:6" ht="14.4" hidden="1" customHeight="1" outlineLevel="2" thickBot="1" x14ac:dyDescent="0.35">
      <c r="C34" s="692"/>
      <c r="D34" s="692"/>
      <c r="E34" s="53"/>
      <c r="F34" s="11"/>
    </row>
    <row r="35" spans="3:6" ht="14.4" hidden="1" customHeight="1" outlineLevel="2" thickBot="1" x14ac:dyDescent="0.35">
      <c r="C35" s="692"/>
      <c r="D35" s="692"/>
      <c r="E35" s="53"/>
      <c r="F35" s="11"/>
    </row>
    <row r="36" spans="3:6" ht="14.4" hidden="1" customHeight="1" outlineLevel="2" thickBot="1" x14ac:dyDescent="0.35">
      <c r="C36" s="692"/>
      <c r="D36" s="692"/>
      <c r="E36" s="53"/>
      <c r="F36" s="11"/>
    </row>
    <row r="37" spans="3:6" ht="14.4" hidden="1" customHeight="1" outlineLevel="2" thickBot="1" x14ac:dyDescent="0.35">
      <c r="C37" s="692"/>
      <c r="D37" s="692"/>
      <c r="E37" s="53"/>
      <c r="F37" s="11"/>
    </row>
    <row r="38" spans="3:6" ht="14.4" hidden="1" customHeight="1" outlineLevel="2" thickBot="1" x14ac:dyDescent="0.35">
      <c r="C38" s="692"/>
      <c r="D38" s="692"/>
      <c r="E38" s="53"/>
      <c r="F38" s="11"/>
    </row>
    <row r="39" spans="3:6" ht="14.4" hidden="1" customHeight="1" outlineLevel="2" thickBot="1" x14ac:dyDescent="0.35">
      <c r="C39" s="692"/>
      <c r="D39" s="692"/>
      <c r="E39" s="53"/>
      <c r="F39" s="11"/>
    </row>
    <row r="40" spans="3:6" ht="14.4" hidden="1" customHeight="1" outlineLevel="2" thickBot="1" x14ac:dyDescent="0.35">
      <c r="C40" s="692"/>
      <c r="D40" s="692"/>
      <c r="E40" s="53"/>
      <c r="F40" s="11"/>
    </row>
    <row r="41" spans="3:6" ht="14.4" hidden="1" customHeight="1" outlineLevel="2" thickBot="1" x14ac:dyDescent="0.35">
      <c r="C41" s="692"/>
      <c r="D41" s="692"/>
      <c r="E41" s="53"/>
      <c r="F41" s="11"/>
    </row>
    <row r="42" spans="3:6" ht="14.4" hidden="1" customHeight="1" outlineLevel="2" thickBot="1" x14ac:dyDescent="0.35">
      <c r="C42" s="692"/>
      <c r="D42" s="692"/>
      <c r="E42" s="53"/>
      <c r="F42" s="11"/>
    </row>
    <row r="43" spans="3:6" ht="14.4" hidden="1" customHeight="1" outlineLevel="2" thickBot="1" x14ac:dyDescent="0.35">
      <c r="C43" s="692"/>
      <c r="D43" s="692"/>
      <c r="E43" s="53"/>
      <c r="F43" s="11"/>
    </row>
    <row r="44" spans="3:6" ht="14.4" hidden="1" customHeight="1" outlineLevel="2" thickBot="1" x14ac:dyDescent="0.35">
      <c r="C44" s="692"/>
      <c r="D44" s="692"/>
      <c r="E44" s="53"/>
      <c r="F44" s="11"/>
    </row>
    <row r="45" spans="3:6" ht="14.4" hidden="1" customHeight="1" outlineLevel="2" thickBot="1" x14ac:dyDescent="0.35">
      <c r="C45" s="692"/>
      <c r="D45" s="692"/>
      <c r="E45" s="53"/>
      <c r="F45" s="11"/>
    </row>
    <row r="46" spans="3:6" ht="14.4" hidden="1" customHeight="1" outlineLevel="2" thickBot="1" x14ac:dyDescent="0.35">
      <c r="C46" s="692"/>
      <c r="D46" s="692"/>
      <c r="E46" s="53"/>
      <c r="F46" s="11"/>
    </row>
    <row r="47" spans="3:6" ht="14.4" hidden="1" customHeight="1" outlineLevel="2" thickBot="1" x14ac:dyDescent="0.35">
      <c r="C47" s="692"/>
      <c r="D47" s="692"/>
      <c r="E47" s="53"/>
      <c r="F47" s="11"/>
    </row>
    <row r="48" spans="3:6" ht="14.4" hidden="1" customHeight="1" outlineLevel="2" thickBot="1" x14ac:dyDescent="0.35">
      <c r="C48" s="692"/>
      <c r="D48" s="692"/>
      <c r="E48" s="53"/>
      <c r="F48" s="11"/>
    </row>
    <row r="49" spans="3:6" ht="14.4" hidden="1" customHeight="1" outlineLevel="2" thickBot="1" x14ac:dyDescent="0.35">
      <c r="C49" s="692"/>
      <c r="D49" s="692"/>
      <c r="E49" s="53"/>
      <c r="F49" s="11"/>
    </row>
    <row r="50" spans="3:6" ht="14.4" hidden="1" customHeight="1" outlineLevel="2" thickBot="1" x14ac:dyDescent="0.35">
      <c r="C50" s="692"/>
      <c r="D50" s="692"/>
      <c r="E50" s="53"/>
      <c r="F50" s="11"/>
    </row>
    <row r="51" spans="3:6" ht="14.4" hidden="1" customHeight="1" outlineLevel="2" thickBot="1" x14ac:dyDescent="0.35">
      <c r="C51" s="692"/>
      <c r="D51" s="692"/>
      <c r="E51" s="53"/>
      <c r="F51" s="11"/>
    </row>
    <row r="52" spans="3:6" ht="14.4" hidden="1" customHeight="1" outlineLevel="2" thickBot="1" x14ac:dyDescent="0.35">
      <c r="C52" s="692"/>
      <c r="D52" s="692"/>
      <c r="E52" s="53"/>
      <c r="F52" s="11"/>
    </row>
    <row r="53" spans="3:6" ht="14.4" hidden="1" customHeight="1" outlineLevel="2" thickBot="1" x14ac:dyDescent="0.35">
      <c r="C53" s="692"/>
      <c r="D53" s="692"/>
      <c r="E53" s="53"/>
      <c r="F53" s="11"/>
    </row>
    <row r="54" spans="3:6" ht="14.4" hidden="1" customHeight="1" outlineLevel="2" thickBot="1" x14ac:dyDescent="0.35">
      <c r="C54" s="692"/>
      <c r="D54" s="692"/>
      <c r="E54" s="53"/>
      <c r="F54" s="11"/>
    </row>
    <row r="55" spans="3:6" ht="14.4" hidden="1" customHeight="1" outlineLevel="2" thickBot="1" x14ac:dyDescent="0.35">
      <c r="C55" s="692"/>
      <c r="D55" s="692"/>
      <c r="E55" s="53"/>
      <c r="F55" s="11"/>
    </row>
    <row r="56" spans="3:6" ht="14.4" hidden="1" customHeight="1" outlineLevel="2" thickBot="1" x14ac:dyDescent="0.35">
      <c r="C56" s="692"/>
      <c r="D56" s="692"/>
      <c r="E56" s="53"/>
      <c r="F56" s="11"/>
    </row>
    <row r="57" spans="3:6" ht="14.4" hidden="1" customHeight="1" outlineLevel="2" thickBot="1" x14ac:dyDescent="0.35">
      <c r="C57" s="692"/>
      <c r="D57" s="692"/>
      <c r="E57" s="53"/>
      <c r="F57" s="11"/>
    </row>
    <row r="58" spans="3:6" ht="14.4" hidden="1" customHeight="1" outlineLevel="2" thickBot="1" x14ac:dyDescent="0.35">
      <c r="C58" s="692"/>
      <c r="D58" s="692"/>
      <c r="E58" s="53"/>
      <c r="F58" s="11"/>
    </row>
    <row r="59" spans="3:6" ht="14.4" hidden="1" customHeight="1" outlineLevel="2" thickBot="1" x14ac:dyDescent="0.35">
      <c r="C59" s="692"/>
      <c r="D59" s="692"/>
      <c r="E59" s="53"/>
      <c r="F59" s="11"/>
    </row>
    <row r="60" spans="3:6" ht="14.4" hidden="1" customHeight="1" outlineLevel="2" thickBot="1" x14ac:dyDescent="0.35">
      <c r="C60" s="692"/>
      <c r="D60" s="692"/>
      <c r="E60" s="53"/>
      <c r="F60" s="11"/>
    </row>
    <row r="61" spans="3:6" ht="14.4" hidden="1" customHeight="1" outlineLevel="2" thickBot="1" x14ac:dyDescent="0.35">
      <c r="C61" s="692"/>
      <c r="D61" s="692"/>
      <c r="E61" s="53"/>
      <c r="F61" s="11"/>
    </row>
    <row r="62" spans="3:6" ht="14.4" hidden="1" customHeight="1" outlineLevel="2" thickBot="1" x14ac:dyDescent="0.35">
      <c r="C62" s="692"/>
      <c r="D62" s="692"/>
      <c r="E62" s="53"/>
      <c r="F62" s="11"/>
    </row>
    <row r="63" spans="3:6" ht="14.4" hidden="1" customHeight="1" outlineLevel="2" thickBot="1" x14ac:dyDescent="0.35">
      <c r="C63" s="692"/>
      <c r="D63" s="692"/>
      <c r="E63" s="53"/>
      <c r="F63" s="11"/>
    </row>
    <row r="64" spans="3:6" ht="14.4" hidden="1" customHeight="1" outlineLevel="2" thickBot="1" x14ac:dyDescent="0.35">
      <c r="C64" s="692"/>
      <c r="D64" s="692"/>
      <c r="E64" s="53"/>
      <c r="F64" s="11"/>
    </row>
    <row r="65" spans="3:6" ht="14.4" hidden="1" customHeight="1" outlineLevel="2" thickBot="1" x14ac:dyDescent="0.35">
      <c r="C65" s="692"/>
      <c r="D65" s="692"/>
      <c r="E65" s="53"/>
      <c r="F65" s="11"/>
    </row>
    <row r="66" spans="3:6" ht="14.4" hidden="1" customHeight="1" outlineLevel="2" thickBot="1" x14ac:dyDescent="0.35">
      <c r="C66" s="692"/>
      <c r="D66" s="692"/>
      <c r="E66" s="53"/>
      <c r="F66" s="11"/>
    </row>
    <row r="67" spans="3:6" ht="14.4" hidden="1" customHeight="1" outlineLevel="2" thickBot="1" x14ac:dyDescent="0.35">
      <c r="C67" s="692"/>
      <c r="D67" s="692"/>
      <c r="E67" s="53"/>
      <c r="F67" s="11"/>
    </row>
    <row r="68" spans="3:6" ht="14.4" hidden="1" customHeight="1" outlineLevel="2" thickBot="1" x14ac:dyDescent="0.35">
      <c r="C68" s="692"/>
      <c r="D68" s="692"/>
      <c r="E68" s="53"/>
      <c r="F68" s="11"/>
    </row>
    <row r="69" spans="3:6" ht="14.4" hidden="1" customHeight="1" outlineLevel="2" thickBot="1" x14ac:dyDescent="0.35">
      <c r="C69" s="692"/>
      <c r="D69" s="692"/>
      <c r="E69" s="53"/>
      <c r="F69" s="11"/>
    </row>
    <row r="70" spans="3:6" ht="14.4" hidden="1" customHeight="1" outlineLevel="2" thickBot="1" x14ac:dyDescent="0.35">
      <c r="C70" s="692"/>
      <c r="D70" s="692"/>
      <c r="E70" s="53"/>
      <c r="F70" s="11"/>
    </row>
    <row r="71" spans="3:6" ht="14.4" hidden="1" customHeight="1" outlineLevel="2" thickBot="1" x14ac:dyDescent="0.35">
      <c r="C71" s="692"/>
      <c r="D71" s="692"/>
      <c r="E71" s="53"/>
      <c r="F71" s="11"/>
    </row>
    <row r="72" spans="3:6" ht="14.4" hidden="1" customHeight="1" outlineLevel="2" thickBot="1" x14ac:dyDescent="0.35">
      <c r="C72" s="692"/>
      <c r="D72" s="692"/>
      <c r="E72" s="53"/>
      <c r="F72" s="11"/>
    </row>
    <row r="73" spans="3:6" ht="14.4" hidden="1" customHeight="1" outlineLevel="2" thickBot="1" x14ac:dyDescent="0.35">
      <c r="C73" s="692"/>
      <c r="D73" s="692"/>
      <c r="E73" s="53"/>
      <c r="F73" s="11"/>
    </row>
    <row r="74" spans="3:6" ht="14.4" hidden="1" customHeight="1" outlineLevel="2" thickBot="1" x14ac:dyDescent="0.35">
      <c r="C74" s="692"/>
      <c r="D74" s="692"/>
      <c r="E74" s="53"/>
      <c r="F74" s="11"/>
    </row>
    <row r="75" spans="3:6" ht="14.4" hidden="1" customHeight="1" outlineLevel="2" thickBot="1" x14ac:dyDescent="0.35">
      <c r="C75" s="692"/>
      <c r="D75" s="692"/>
      <c r="E75" s="53"/>
      <c r="F75" s="11"/>
    </row>
    <row r="76" spans="3:6" ht="14.4" hidden="1" customHeight="1" outlineLevel="2" thickBot="1" x14ac:dyDescent="0.35">
      <c r="C76" s="692"/>
      <c r="D76" s="692"/>
      <c r="E76" s="53"/>
      <c r="F76" s="11"/>
    </row>
    <row r="77" spans="3:6" ht="14.4" hidden="1" customHeight="1" outlineLevel="2" thickBot="1" x14ac:dyDescent="0.35">
      <c r="C77" s="692"/>
      <c r="D77" s="692"/>
      <c r="E77" s="53"/>
      <c r="F77" s="11"/>
    </row>
    <row r="78" spans="3:6" ht="14.4" hidden="1" customHeight="1" outlineLevel="2" thickBot="1" x14ac:dyDescent="0.35">
      <c r="C78" s="692"/>
      <c r="D78" s="692"/>
      <c r="E78" s="53"/>
      <c r="F78" s="11"/>
    </row>
    <row r="79" spans="3:6" ht="14.4" hidden="1" customHeight="1" outlineLevel="2" thickBot="1" x14ac:dyDescent="0.35">
      <c r="C79" s="692"/>
      <c r="D79" s="692"/>
      <c r="E79" s="53"/>
      <c r="F79" s="11"/>
    </row>
    <row r="80" spans="3:6" ht="14.4" hidden="1" customHeight="1" outlineLevel="2" thickBot="1" x14ac:dyDescent="0.35">
      <c r="C80" s="692"/>
      <c r="D80" s="692"/>
      <c r="E80" s="53"/>
      <c r="F80" s="11"/>
    </row>
    <row r="81" spans="3:6" ht="14.4" hidden="1" customHeight="1" outlineLevel="2" thickBot="1" x14ac:dyDescent="0.35">
      <c r="C81" s="692"/>
      <c r="D81" s="692"/>
      <c r="E81" s="53"/>
      <c r="F81" s="11"/>
    </row>
    <row r="82" spans="3:6" ht="14.4" hidden="1" customHeight="1" outlineLevel="2" thickBot="1" x14ac:dyDescent="0.35">
      <c r="C82" s="692"/>
      <c r="D82" s="692"/>
      <c r="E82" s="53"/>
      <c r="F82" s="11"/>
    </row>
    <row r="83" spans="3:6" ht="14.4" hidden="1" customHeight="1" outlineLevel="2" thickBot="1" x14ac:dyDescent="0.35">
      <c r="C83" s="692"/>
      <c r="D83" s="692"/>
      <c r="E83" s="53"/>
      <c r="F83" s="11"/>
    </row>
    <row r="84" spans="3:6" ht="14.4" hidden="1" customHeight="1" outlineLevel="2" thickBot="1" x14ac:dyDescent="0.35">
      <c r="C84" s="692"/>
      <c r="D84" s="692"/>
      <c r="E84" s="53"/>
      <c r="F84" s="11"/>
    </row>
    <row r="85" spans="3:6" ht="14.4" hidden="1" customHeight="1" outlineLevel="2" thickBot="1" x14ac:dyDescent="0.35">
      <c r="C85" s="692"/>
      <c r="D85" s="692"/>
      <c r="E85" s="53"/>
      <c r="F85" s="11"/>
    </row>
    <row r="86" spans="3:6" ht="14.4" hidden="1" customHeight="1" outlineLevel="2" thickBot="1" x14ac:dyDescent="0.35">
      <c r="C86" s="692"/>
      <c r="D86" s="692"/>
      <c r="E86" s="53"/>
      <c r="F86" s="11"/>
    </row>
    <row r="87" spans="3:6" ht="14.4" hidden="1" customHeight="1" outlineLevel="2" thickBot="1" x14ac:dyDescent="0.35">
      <c r="C87" s="692"/>
      <c r="D87" s="692"/>
      <c r="E87" s="53"/>
      <c r="F87" s="11"/>
    </row>
    <row r="88" spans="3:6" ht="14.4" hidden="1" customHeight="1" outlineLevel="2" thickBot="1" x14ac:dyDescent="0.35">
      <c r="C88" s="692"/>
      <c r="D88" s="692"/>
      <c r="E88" s="53"/>
      <c r="F88" s="11"/>
    </row>
    <row r="89" spans="3:6" ht="14.4" hidden="1" customHeight="1" outlineLevel="2" thickBot="1" x14ac:dyDescent="0.35">
      <c r="C89" s="692"/>
      <c r="D89" s="692"/>
      <c r="E89" s="53"/>
      <c r="F89" s="11"/>
    </row>
    <row r="90" spans="3:6" ht="14.4" hidden="1" customHeight="1" outlineLevel="2" thickBot="1" x14ac:dyDescent="0.35">
      <c r="C90" s="692"/>
      <c r="D90" s="692"/>
      <c r="E90" s="53"/>
      <c r="F90" s="11"/>
    </row>
    <row r="91" spans="3:6" ht="14.4" hidden="1" customHeight="1" outlineLevel="2" thickBot="1" x14ac:dyDescent="0.35">
      <c r="C91" s="692"/>
      <c r="D91" s="692"/>
      <c r="E91" s="53"/>
      <c r="F91" s="11"/>
    </row>
    <row r="92" spans="3:6" ht="14.4" hidden="1" customHeight="1" outlineLevel="2" thickBot="1" x14ac:dyDescent="0.35">
      <c r="C92" s="692"/>
      <c r="D92" s="692"/>
      <c r="E92" s="53"/>
      <c r="F92" s="11"/>
    </row>
    <row r="93" spans="3:6" ht="14.4" hidden="1" customHeight="1" outlineLevel="2" thickBot="1" x14ac:dyDescent="0.35">
      <c r="C93" s="692"/>
      <c r="D93" s="692"/>
      <c r="E93" s="53"/>
      <c r="F93" s="11"/>
    </row>
    <row r="94" spans="3:6" ht="14.4" hidden="1" customHeight="1" outlineLevel="2" thickBot="1" x14ac:dyDescent="0.35">
      <c r="C94" s="692"/>
      <c r="D94" s="692"/>
      <c r="E94" s="53"/>
      <c r="F94" s="11"/>
    </row>
    <row r="95" spans="3:6" ht="14.4" hidden="1" customHeight="1" outlineLevel="2" thickBot="1" x14ac:dyDescent="0.35">
      <c r="C95" s="692"/>
      <c r="D95" s="692"/>
      <c r="E95" s="53"/>
      <c r="F95" s="11"/>
    </row>
    <row r="96" spans="3:6" ht="14.4" hidden="1" customHeight="1" outlineLevel="2" thickBot="1" x14ac:dyDescent="0.35">
      <c r="C96" s="692"/>
      <c r="D96" s="692"/>
      <c r="E96" s="53"/>
      <c r="F96" s="11"/>
    </row>
    <row r="97" spans="3:6" ht="14.4" hidden="1" customHeight="1" outlineLevel="2" thickBot="1" x14ac:dyDescent="0.35">
      <c r="C97" s="692"/>
      <c r="D97" s="692"/>
      <c r="E97" s="53"/>
      <c r="F97" s="11"/>
    </row>
    <row r="98" spans="3:6" ht="14.4" hidden="1" customHeight="1" outlineLevel="2" thickBot="1" x14ac:dyDescent="0.35">
      <c r="C98" s="692"/>
      <c r="D98" s="692"/>
      <c r="E98" s="53"/>
      <c r="F98" s="11"/>
    </row>
    <row r="99" spans="3:6" ht="14.4" hidden="1" customHeight="1" outlineLevel="2" thickBot="1" x14ac:dyDescent="0.35">
      <c r="C99" s="692"/>
      <c r="D99" s="692"/>
      <c r="E99" s="53"/>
      <c r="F99" s="11"/>
    </row>
    <row r="100" spans="3:6" ht="14.4" hidden="1" customHeight="1" outlineLevel="2" thickBot="1" x14ac:dyDescent="0.35">
      <c r="C100" s="692"/>
      <c r="D100" s="692"/>
      <c r="E100" s="53"/>
      <c r="F100" s="11"/>
    </row>
    <row r="101" spans="3:6" ht="14.4" hidden="1" customHeight="1" outlineLevel="2" thickBot="1" x14ac:dyDescent="0.35">
      <c r="C101" s="692"/>
      <c r="D101" s="692"/>
      <c r="E101" s="53"/>
      <c r="F101" s="11"/>
    </row>
    <row r="102" spans="3:6" ht="14.4" hidden="1" customHeight="1" outlineLevel="2" thickBot="1" x14ac:dyDescent="0.35">
      <c r="C102" s="692"/>
      <c r="D102" s="692"/>
      <c r="E102" s="53"/>
      <c r="F102" s="11"/>
    </row>
    <row r="103" spans="3:6" ht="14.4" hidden="1" customHeight="1" outlineLevel="2" thickBot="1" x14ac:dyDescent="0.35">
      <c r="C103" s="692"/>
      <c r="D103" s="692"/>
      <c r="E103" s="53"/>
      <c r="F103" s="11"/>
    </row>
    <row r="104" spans="3:6" ht="14.4" hidden="1" customHeight="1" outlineLevel="2" thickBot="1" x14ac:dyDescent="0.35">
      <c r="C104" s="692"/>
      <c r="D104" s="692"/>
      <c r="E104" s="53"/>
      <c r="F104" s="11"/>
    </row>
    <row r="105" spans="3:6" ht="14.4" hidden="1" customHeight="1" outlineLevel="2" thickBot="1" x14ac:dyDescent="0.35">
      <c r="C105" s="692"/>
      <c r="D105" s="692"/>
      <c r="E105" s="53"/>
      <c r="F105" s="11"/>
    </row>
    <row r="106" spans="3:6" ht="14.4" hidden="1" customHeight="1" outlineLevel="2" thickBot="1" x14ac:dyDescent="0.35">
      <c r="C106" s="692"/>
      <c r="D106" s="692"/>
      <c r="E106" s="53"/>
      <c r="F106" s="11"/>
    </row>
    <row r="107" spans="3:6" ht="14.4" hidden="1" customHeight="1" outlineLevel="2" thickBot="1" x14ac:dyDescent="0.35">
      <c r="C107" s="692"/>
      <c r="D107" s="692"/>
      <c r="E107" s="53"/>
      <c r="F107" s="11"/>
    </row>
    <row r="108" spans="3:6" ht="14.4" hidden="1" customHeight="1" outlineLevel="2" thickBot="1" x14ac:dyDescent="0.35">
      <c r="C108" s="692"/>
      <c r="D108" s="692"/>
      <c r="E108" s="53"/>
      <c r="F108" s="11"/>
    </row>
    <row r="109" spans="3:6" ht="14.4" hidden="1" customHeight="1" outlineLevel="2" thickBot="1" x14ac:dyDescent="0.35">
      <c r="C109" s="692"/>
      <c r="D109" s="692"/>
      <c r="E109" s="53"/>
      <c r="F109" s="11"/>
    </row>
    <row r="110" spans="3:6" ht="14.4" hidden="1" customHeight="1" outlineLevel="2" thickBot="1" x14ac:dyDescent="0.35">
      <c r="C110" s="692"/>
      <c r="D110" s="692"/>
      <c r="E110" s="53"/>
      <c r="F110" s="11"/>
    </row>
    <row r="111" spans="3:6" ht="14.4" hidden="1" customHeight="1" outlineLevel="2" thickBot="1" x14ac:dyDescent="0.35">
      <c r="C111" s="692"/>
      <c r="D111" s="692"/>
      <c r="E111" s="53"/>
      <c r="F111" s="11"/>
    </row>
    <row r="112" spans="3:6" ht="14.4" hidden="1" customHeight="1" outlineLevel="2" thickBot="1" x14ac:dyDescent="0.35">
      <c r="C112" s="692"/>
      <c r="D112" s="692"/>
      <c r="E112" s="53"/>
      <c r="F112" s="11"/>
    </row>
    <row r="113" spans="1:10" ht="14.4" hidden="1" customHeight="1" outlineLevel="2" thickBot="1" x14ac:dyDescent="0.35">
      <c r="C113" s="692"/>
      <c r="D113" s="692"/>
      <c r="E113" s="53"/>
      <c r="F113" s="11"/>
    </row>
    <row r="114" spans="1:10" ht="14.4" hidden="1" customHeight="1" outlineLevel="2" thickBot="1" x14ac:dyDescent="0.35">
      <c r="C114" s="692"/>
      <c r="D114" s="692"/>
      <c r="E114" s="53"/>
      <c r="F114" s="11"/>
    </row>
    <row r="115" spans="1:10" ht="14.4" hidden="1" customHeight="1" outlineLevel="2" thickBot="1" x14ac:dyDescent="0.35">
      <c r="C115" s="692"/>
      <c r="D115" s="692"/>
      <c r="E115" s="53"/>
      <c r="F115" s="11"/>
    </row>
    <row r="116" spans="1:10" ht="14.4" hidden="1" customHeight="1" outlineLevel="2" thickBot="1" x14ac:dyDescent="0.35">
      <c r="C116" s="692"/>
      <c r="D116" s="692"/>
      <c r="E116" s="53"/>
      <c r="F116" s="11"/>
    </row>
    <row r="117" spans="1:10" ht="14.4" hidden="1" customHeight="1" outlineLevel="2" thickBot="1" x14ac:dyDescent="0.35">
      <c r="C117" s="692"/>
      <c r="D117" s="692"/>
      <c r="E117" s="53"/>
      <c r="F117" s="11"/>
    </row>
    <row r="118" spans="1:10" ht="14.4" hidden="1" customHeight="1" outlineLevel="2" thickBot="1" x14ac:dyDescent="0.35">
      <c r="C118" s="692"/>
      <c r="D118" s="692"/>
      <c r="E118" s="53"/>
      <c r="F118" s="11"/>
    </row>
    <row r="119" spans="1:10" ht="14.4" hidden="1" customHeight="1" outlineLevel="2" thickBot="1" x14ac:dyDescent="0.35">
      <c r="C119" s="692"/>
      <c r="D119" s="692"/>
      <c r="E119" s="53"/>
      <c r="F119" s="11"/>
    </row>
    <row r="120" spans="1:10" ht="14.4" hidden="1" customHeight="1" outlineLevel="2" thickBot="1" x14ac:dyDescent="0.35">
      <c r="C120" s="692"/>
      <c r="D120" s="692"/>
      <c r="E120" s="53"/>
      <c r="F120" s="11"/>
    </row>
    <row r="121" spans="1:10" ht="14.4" hidden="1" customHeight="1" outlineLevel="2" thickBot="1" x14ac:dyDescent="0.35">
      <c r="C121" s="692"/>
      <c r="D121" s="692"/>
      <c r="E121" s="53"/>
      <c r="F121" s="11"/>
    </row>
    <row r="122" spans="1:10" ht="14.4" customHeight="1" collapsed="1" thickBot="1" x14ac:dyDescent="0.35">
      <c r="B122" s="84"/>
      <c r="C122" s="635" t="str">
        <f>template_label_link_to_previous_report_containing_disclosures_that_remain_unchanged</f>
        <v>Lien vers le rapport précédent contenant des informations inchangées</v>
      </c>
      <c r="D122" s="635"/>
      <c r="E122" s="196"/>
      <c r="F122" s="11" t="str">
        <f>IF(AND(E21 = FALSE, E122 = ""), "",
IF(AND(E21 = TRUE, E122 = ""), template_label_missing_value,
IF(AND(E21 = FALSE, E122 &lt;&gt; ""), "",
IF(AND(E21 = TRUE, E122 &lt;&gt; "", OR(LEFT(E122, 7) = "http://", LEFT(E122, 8) = "https://", LEFT(E122, 4) = "www.")), template_label_ok,
IF(E21 = TRUE, template_label_invalid_url, template_label_missing_value)))))</f>
        <v/>
      </c>
    </row>
    <row r="123" spans="1:10" ht="15" thickBot="1" x14ac:dyDescent="0.35">
      <c r="B123" s="85"/>
    </row>
    <row r="124" spans="1:10" ht="17.7" customHeight="1" thickBot="1" x14ac:dyDescent="0.35">
      <c r="C124" s="629" t="str">
        <f>template_label_b1_basis_for_preparation &amp; " " &amp; template_label_from &amp; " " &amp; template_starting_date_display &amp; " " &amp; template_label_to &amp; " " &amp; template_ending_date_display &amp; " " &amp; template_label_always_to_be_reported</f>
        <v xml:space="preserve">B1 - Base de préparation &amp; Module du - au - [Toujours à reporter] 
</v>
      </c>
      <c r="D124" s="629"/>
      <c r="E124" s="647"/>
      <c r="F124"/>
    </row>
    <row r="125" spans="1:10" x14ac:dyDescent="0.3">
      <c r="A125" s="467" t="s">
        <v>7</v>
      </c>
      <c r="B125" s="468" t="s">
        <v>8</v>
      </c>
      <c r="C125" s="702" t="str">
        <f>template_label_basis_for_preparation</f>
        <v>Base de préparation (Module de base uniquement ou Modules de base &amp; complet)</v>
      </c>
      <c r="D125" s="702"/>
      <c r="E125" s="409"/>
      <c r="F125" s="11" t="str">
        <f>IF(
'Table of Contents &amp; Validation'!D12=TRUE, IF(E125 = "", "", template_label_ok),
IF(E125 = "", template_label_missing_value, template_label_ok)
)</f>
        <v>VALEUR MANQUANTE</v>
      </c>
    </row>
    <row r="126" spans="1:10" ht="14.4" customHeight="1" x14ac:dyDescent="0.3">
      <c r="A126" s="624" t="s">
        <v>9</v>
      </c>
      <c r="B126" s="626" t="s">
        <v>8</v>
      </c>
      <c r="C126" s="638" t="str">
        <f>template_label_list_of_omitted_disclosures_deemed_to_be_classified_or_sensitive_information</f>
        <v>Liste des informations omises jugées comme informations classifiées ou sensibles</v>
      </c>
      <c r="D126" s="639"/>
      <c r="E126" s="376" t="str" cm="1">
        <f t="array" ref="E126">IF('Technical Sheet'!E259=0,"None",_xlfn.XLOOKUP('Technical Sheet'!A120, 'Technical Sheet'!E193:$E$258, 'Table of Contents &amp; Validation'!B5:$B$70, ""))</f>
        <v>None</v>
      </c>
      <c r="F126" s="346"/>
      <c r="G126" s="681" t="str">
        <f>template_label_bold_omitted_information</f>
        <v>ℹ️  Chaque fois qu’une divulgation est complètement omise parce qu’elle est sensible ou classifiée, elle sera surlignée en gras</v>
      </c>
      <c r="H126" s="681"/>
      <c r="I126" s="681"/>
      <c r="J126" s="681"/>
    </row>
    <row r="127" spans="1:10" ht="14.4" customHeight="1" x14ac:dyDescent="0.3">
      <c r="A127" s="625"/>
      <c r="B127" s="627"/>
      <c r="C127" s="640"/>
      <c r="D127" s="641"/>
      <c r="E127" s="376" t="str" cm="1">
        <f t="array" ref="E127">_xlfn.XLOOKUP('Technical Sheet'!A121, 'Technical Sheet'!E194:$E$258, 'Table of Contents &amp; Validation'!B6:$B$70, "")</f>
        <v/>
      </c>
      <c r="F127" s="346"/>
      <c r="G127" s="681"/>
      <c r="H127" s="681"/>
      <c r="I127" s="681"/>
      <c r="J127" s="681"/>
    </row>
    <row r="128" spans="1:10" ht="14.4" customHeight="1" thickBot="1" x14ac:dyDescent="0.35">
      <c r="A128" s="625"/>
      <c r="B128" s="627"/>
      <c r="C128" s="640"/>
      <c r="D128" s="641"/>
      <c r="E128" s="376" t="str" cm="1">
        <f t="array" ref="E128">_xlfn.XLOOKUP('Technical Sheet'!A122, 'Technical Sheet'!E195:$E$258, 'Table of Contents &amp; Validation'!B7:$B$70, "")</f>
        <v/>
      </c>
      <c r="F128" s="346"/>
      <c r="G128" s="681"/>
      <c r="H128" s="681"/>
      <c r="I128" s="681"/>
      <c r="J128" s="681"/>
    </row>
    <row r="129" spans="1:6" ht="14.4" hidden="1" customHeight="1" outlineLevel="1" x14ac:dyDescent="0.3">
      <c r="A129" s="625"/>
      <c r="B129" s="627"/>
      <c r="C129" s="640"/>
      <c r="D129" s="641"/>
      <c r="E129" s="376" t="str" cm="1">
        <f t="array" ref="E129">_xlfn.XLOOKUP('Technical Sheet'!A123, 'Technical Sheet'!E196:$E$258, 'Table of Contents &amp; Validation'!B8:$B$70, "")</f>
        <v/>
      </c>
      <c r="F129" s="346"/>
    </row>
    <row r="130" spans="1:6" ht="14.4" hidden="1" customHeight="1" outlineLevel="1" x14ac:dyDescent="0.3">
      <c r="A130" s="625"/>
      <c r="B130" s="627"/>
      <c r="C130" s="640"/>
      <c r="D130" s="641"/>
      <c r="E130" s="376" t="str" cm="1">
        <f t="array" ref="E130">_xlfn.XLOOKUP('Technical Sheet'!A124, 'Technical Sheet'!E197:$E$258, 'Table of Contents &amp; Validation'!B9:$B$70, "")</f>
        <v/>
      </c>
      <c r="F130" s="346"/>
    </row>
    <row r="131" spans="1:6" ht="14.4" hidden="1" customHeight="1" outlineLevel="1" x14ac:dyDescent="0.3">
      <c r="A131" s="625"/>
      <c r="B131" s="627"/>
      <c r="C131" s="640"/>
      <c r="D131" s="641"/>
      <c r="E131" s="376" t="str" cm="1">
        <f t="array" ref="E131">_xlfn.XLOOKUP('Technical Sheet'!A125, 'Technical Sheet'!E198:$E$258, 'Table of Contents &amp; Validation'!B10:$B$70, "")</f>
        <v/>
      </c>
      <c r="F131" s="346"/>
    </row>
    <row r="132" spans="1:6" ht="14.4" hidden="1" customHeight="1" outlineLevel="1" x14ac:dyDescent="0.3">
      <c r="A132" s="625"/>
      <c r="B132" s="627"/>
      <c r="C132" s="640"/>
      <c r="D132" s="641"/>
      <c r="E132" s="376" t="str" cm="1">
        <f t="array" ref="E132">_xlfn.XLOOKUP('Technical Sheet'!A126, 'Technical Sheet'!E199:$E$258, 'Table of Contents &amp; Validation'!B11:$B$70, "")</f>
        <v/>
      </c>
      <c r="F132" s="346"/>
    </row>
    <row r="133" spans="1:6" ht="14.4" hidden="1" customHeight="1" outlineLevel="1" x14ac:dyDescent="0.3">
      <c r="A133" s="625"/>
      <c r="B133" s="627"/>
      <c r="C133" s="640"/>
      <c r="D133" s="641"/>
      <c r="E133" s="376" t="str" cm="1">
        <f t="array" ref="E133">_xlfn.XLOOKUP('Technical Sheet'!A127, 'Technical Sheet'!E200:$E$258, 'Table of Contents &amp; Validation'!B12:$B$70, "")</f>
        <v/>
      </c>
      <c r="F133" s="346"/>
    </row>
    <row r="134" spans="1:6" ht="14.4" hidden="1" customHeight="1" outlineLevel="1" x14ac:dyDescent="0.3">
      <c r="A134" s="625"/>
      <c r="B134" s="627"/>
      <c r="C134" s="640"/>
      <c r="D134" s="641"/>
      <c r="E134" s="376" t="str" cm="1">
        <f t="array" ref="E134">_xlfn.XLOOKUP('Technical Sheet'!A128, 'Technical Sheet'!E201:$E$258, 'Table of Contents &amp; Validation'!B13:$B$70, "")</f>
        <v/>
      </c>
      <c r="F134" s="346"/>
    </row>
    <row r="135" spans="1:6" ht="14.4" hidden="1" customHeight="1" outlineLevel="1" x14ac:dyDescent="0.3">
      <c r="A135" s="625"/>
      <c r="B135" s="627"/>
      <c r="C135" s="640"/>
      <c r="D135" s="641"/>
      <c r="E135" s="376" t="str" cm="1">
        <f t="array" ref="E135">_xlfn.XLOOKUP('Technical Sheet'!A129, 'Technical Sheet'!E202:$E$258, 'Table of Contents &amp; Validation'!B14:$B$70, "")</f>
        <v/>
      </c>
      <c r="F135" s="346"/>
    </row>
    <row r="136" spans="1:6" ht="14.4" hidden="1" customHeight="1" outlineLevel="1" x14ac:dyDescent="0.3">
      <c r="A136" s="625"/>
      <c r="B136" s="627"/>
      <c r="C136" s="640"/>
      <c r="D136" s="641"/>
      <c r="E136" s="376" t="str" cm="1">
        <f t="array" ref="E136">_xlfn.XLOOKUP('Technical Sheet'!A130, 'Technical Sheet'!E203:$E$258, 'Table of Contents &amp; Validation'!B15:$B$70, "")</f>
        <v/>
      </c>
      <c r="F136" s="346"/>
    </row>
    <row r="137" spans="1:6" ht="14.4" hidden="1" customHeight="1" outlineLevel="1" x14ac:dyDescent="0.3">
      <c r="A137" s="625"/>
      <c r="B137" s="627"/>
      <c r="C137" s="640"/>
      <c r="D137" s="641"/>
      <c r="E137" s="376" t="str" cm="1">
        <f t="array" ref="E137">_xlfn.XLOOKUP('Technical Sheet'!A131, 'Technical Sheet'!E204:$E$258, 'Table of Contents &amp; Validation'!B16:$B$70, "")</f>
        <v/>
      </c>
      <c r="F137" s="346"/>
    </row>
    <row r="138" spans="1:6" ht="14.4" hidden="1" customHeight="1" outlineLevel="1" x14ac:dyDescent="0.3">
      <c r="A138" s="625"/>
      <c r="B138" s="627"/>
      <c r="C138" s="640"/>
      <c r="D138" s="641"/>
      <c r="E138" s="376" t="str" cm="1">
        <f t="array" ref="E138">_xlfn.XLOOKUP('Technical Sheet'!A132, 'Technical Sheet'!E205:$E$258, 'Table of Contents &amp; Validation'!B17:$B$70, "")</f>
        <v/>
      </c>
      <c r="F138" s="346"/>
    </row>
    <row r="139" spans="1:6" ht="14.4" hidden="1" customHeight="1" outlineLevel="1" x14ac:dyDescent="0.3">
      <c r="A139" s="625"/>
      <c r="B139" s="627"/>
      <c r="C139" s="640"/>
      <c r="D139" s="641"/>
      <c r="E139" s="376" t="str" cm="1">
        <f t="array" ref="E139">_xlfn.XLOOKUP('Technical Sheet'!A133, 'Technical Sheet'!E206:$E$258, 'Table of Contents &amp; Validation'!B18:$B$70, "")</f>
        <v/>
      </c>
      <c r="F139" s="346"/>
    </row>
    <row r="140" spans="1:6" ht="14.4" hidden="1" customHeight="1" outlineLevel="1" x14ac:dyDescent="0.3">
      <c r="A140" s="625"/>
      <c r="B140" s="627"/>
      <c r="C140" s="640"/>
      <c r="D140" s="641"/>
      <c r="E140" s="376" t="str" cm="1">
        <f t="array" ref="E140">_xlfn.XLOOKUP('Technical Sheet'!A134, 'Technical Sheet'!E207:$E$258, 'Table of Contents &amp; Validation'!B19:$B$70, "")</f>
        <v/>
      </c>
      <c r="F140" s="346"/>
    </row>
    <row r="141" spans="1:6" ht="14.4" hidden="1" customHeight="1" outlineLevel="1" x14ac:dyDescent="0.3">
      <c r="A141" s="625"/>
      <c r="B141" s="627"/>
      <c r="C141" s="640"/>
      <c r="D141" s="641"/>
      <c r="E141" s="376" t="str" cm="1">
        <f t="array" ref="E141">_xlfn.XLOOKUP('Technical Sheet'!A135, 'Technical Sheet'!E208:$E$258, 'Table of Contents &amp; Validation'!B20:$B$70, "")</f>
        <v/>
      </c>
      <c r="F141" s="346"/>
    </row>
    <row r="142" spans="1:6" ht="14.4" hidden="1" customHeight="1" outlineLevel="1" x14ac:dyDescent="0.3">
      <c r="A142" s="625"/>
      <c r="B142" s="627"/>
      <c r="C142" s="640"/>
      <c r="D142" s="641"/>
      <c r="E142" s="376" t="str" cm="1">
        <f t="array" ref="E142">_xlfn.XLOOKUP('Technical Sheet'!A136, 'Technical Sheet'!E209:$E$258, 'Table of Contents &amp; Validation'!B21:$B$70, "")</f>
        <v/>
      </c>
      <c r="F142" s="346"/>
    </row>
    <row r="143" spans="1:6" ht="14.4" hidden="1" customHeight="1" outlineLevel="1" x14ac:dyDescent="0.3">
      <c r="A143" s="625"/>
      <c r="B143" s="627"/>
      <c r="C143" s="640"/>
      <c r="D143" s="641"/>
      <c r="E143" s="376" t="str" cm="1">
        <f t="array" ref="E143">_xlfn.XLOOKUP('Technical Sheet'!A137, 'Technical Sheet'!E210:$E$258, 'Table of Contents &amp; Validation'!B22:$B$70, "")</f>
        <v/>
      </c>
      <c r="F143" s="346"/>
    </row>
    <row r="144" spans="1:6" ht="14.4" hidden="1" customHeight="1" outlineLevel="1" x14ac:dyDescent="0.3">
      <c r="A144" s="625"/>
      <c r="B144" s="627"/>
      <c r="C144" s="640"/>
      <c r="D144" s="641"/>
      <c r="E144" s="376" t="str" cm="1">
        <f t="array" ref="E144">_xlfn.XLOOKUP('Technical Sheet'!A138, 'Technical Sheet'!E211:$E$258, 'Table of Contents &amp; Validation'!B23:$B$70, "")</f>
        <v/>
      </c>
      <c r="F144" s="346"/>
    </row>
    <row r="145" spans="1:6" ht="14.4" hidden="1" customHeight="1" outlineLevel="1" x14ac:dyDescent="0.3">
      <c r="A145" s="625"/>
      <c r="B145" s="627"/>
      <c r="C145" s="640"/>
      <c r="D145" s="641"/>
      <c r="E145" s="376" t="str" cm="1">
        <f t="array" ref="E145">_xlfn.XLOOKUP('Technical Sheet'!A139, 'Technical Sheet'!E212:$E$258, 'Table of Contents &amp; Validation'!B24:$B$70, "")</f>
        <v/>
      </c>
      <c r="F145" s="346"/>
    </row>
    <row r="146" spans="1:6" ht="14.4" hidden="1" customHeight="1" outlineLevel="1" x14ac:dyDescent="0.3">
      <c r="A146" s="625"/>
      <c r="B146" s="627"/>
      <c r="C146" s="640"/>
      <c r="D146" s="641"/>
      <c r="E146" s="376" t="str" cm="1">
        <f t="array" ref="E146">_xlfn.XLOOKUP('Technical Sheet'!A140, 'Technical Sheet'!E213:$E$258, 'Table of Contents &amp; Validation'!B25:$B$70, "")</f>
        <v/>
      </c>
      <c r="F146" s="346"/>
    </row>
    <row r="147" spans="1:6" ht="14.4" hidden="1" customHeight="1" outlineLevel="1" x14ac:dyDescent="0.3">
      <c r="A147" s="625"/>
      <c r="B147" s="627"/>
      <c r="C147" s="640"/>
      <c r="D147" s="641"/>
      <c r="E147" s="376" t="str" cm="1">
        <f t="array" ref="E147">_xlfn.XLOOKUP('Technical Sheet'!A141, 'Technical Sheet'!E214:$E$258, 'Table of Contents &amp; Validation'!B26:$B$70, "")</f>
        <v/>
      </c>
      <c r="F147" s="346"/>
    </row>
    <row r="148" spans="1:6" ht="14.4" hidden="1" customHeight="1" outlineLevel="1" x14ac:dyDescent="0.3">
      <c r="A148" s="625"/>
      <c r="B148" s="627"/>
      <c r="C148" s="640"/>
      <c r="D148" s="641"/>
      <c r="E148" s="376" t="str" cm="1">
        <f t="array" ref="E148">_xlfn.XLOOKUP('Technical Sheet'!A142, 'Technical Sheet'!E215:$E$258, 'Table of Contents &amp; Validation'!B27:$B$70, "")</f>
        <v/>
      </c>
      <c r="F148" s="346"/>
    </row>
    <row r="149" spans="1:6" ht="14.4" hidden="1" customHeight="1" outlineLevel="1" x14ac:dyDescent="0.3">
      <c r="A149" s="625"/>
      <c r="B149" s="627"/>
      <c r="C149" s="640"/>
      <c r="D149" s="641"/>
      <c r="E149" s="376" t="str" cm="1">
        <f t="array" ref="E149">_xlfn.XLOOKUP('Technical Sheet'!A143, 'Technical Sheet'!E216:$E$258, 'Table of Contents &amp; Validation'!B28:$B$70, "")</f>
        <v/>
      </c>
      <c r="F149" s="346"/>
    </row>
    <row r="150" spans="1:6" ht="14.4" hidden="1" customHeight="1" outlineLevel="1" x14ac:dyDescent="0.3">
      <c r="A150" s="625"/>
      <c r="B150" s="627"/>
      <c r="C150" s="640"/>
      <c r="D150" s="641"/>
      <c r="E150" s="376" t="str" cm="1">
        <f t="array" ref="E150">_xlfn.XLOOKUP('Technical Sheet'!A144, 'Technical Sheet'!E217:$E$258, 'Table of Contents &amp; Validation'!B29:$B$70, "")</f>
        <v/>
      </c>
      <c r="F150" s="346"/>
    </row>
    <row r="151" spans="1:6" ht="14.4" hidden="1" customHeight="1" outlineLevel="1" x14ac:dyDescent="0.3">
      <c r="A151" s="625"/>
      <c r="B151" s="627"/>
      <c r="C151" s="640"/>
      <c r="D151" s="641"/>
      <c r="E151" s="376" t="str" cm="1">
        <f t="array" ref="E151">_xlfn.XLOOKUP('Technical Sheet'!A145, 'Technical Sheet'!E218:$E$258, 'Table of Contents &amp; Validation'!B30:$B$70, "")</f>
        <v/>
      </c>
      <c r="F151" s="346"/>
    </row>
    <row r="152" spans="1:6" ht="14.4" hidden="1" customHeight="1" outlineLevel="1" x14ac:dyDescent="0.3">
      <c r="A152" s="625"/>
      <c r="B152" s="627"/>
      <c r="C152" s="640"/>
      <c r="D152" s="641"/>
      <c r="E152" s="376" t="str" cm="1">
        <f t="array" ref="E152">_xlfn.XLOOKUP('Technical Sheet'!A146, 'Technical Sheet'!E219:$E$258, 'Table of Contents &amp; Validation'!B31:$B$70, "")</f>
        <v/>
      </c>
      <c r="F152" s="346"/>
    </row>
    <row r="153" spans="1:6" ht="14.4" hidden="1" customHeight="1" outlineLevel="1" x14ac:dyDescent="0.3">
      <c r="A153" s="625"/>
      <c r="B153" s="627"/>
      <c r="C153" s="640"/>
      <c r="D153" s="641"/>
      <c r="E153" s="376" t="str" cm="1">
        <f t="array" ref="E153">_xlfn.XLOOKUP('Technical Sheet'!A147, 'Technical Sheet'!E220:$E$258, 'Table of Contents &amp; Validation'!B32:$B$70, "")</f>
        <v/>
      </c>
      <c r="F153" s="346"/>
    </row>
    <row r="154" spans="1:6" ht="14.4" hidden="1" customHeight="1" outlineLevel="1" x14ac:dyDescent="0.3">
      <c r="A154" s="625"/>
      <c r="B154" s="627"/>
      <c r="C154" s="640"/>
      <c r="D154" s="641"/>
      <c r="E154" s="376" t="str" cm="1">
        <f t="array" ref="E154">_xlfn.XLOOKUP('Technical Sheet'!A148, 'Technical Sheet'!E221:$E$258, 'Table of Contents &amp; Validation'!B33:$B$70, "")</f>
        <v/>
      </c>
      <c r="F154" s="346"/>
    </row>
    <row r="155" spans="1:6" ht="14.4" hidden="1" customHeight="1" outlineLevel="1" x14ac:dyDescent="0.3">
      <c r="A155" s="625"/>
      <c r="B155" s="627"/>
      <c r="C155" s="640"/>
      <c r="D155" s="641"/>
      <c r="E155" s="376" t="str" cm="1">
        <f t="array" ref="E155">_xlfn.XLOOKUP('Technical Sheet'!A149, 'Technical Sheet'!E222:$E$258, 'Table of Contents &amp; Validation'!B34:$B$70, "")</f>
        <v/>
      </c>
      <c r="F155" s="346"/>
    </row>
    <row r="156" spans="1:6" ht="14.4" hidden="1" customHeight="1" outlineLevel="1" x14ac:dyDescent="0.3">
      <c r="A156" s="625"/>
      <c r="B156" s="627"/>
      <c r="C156" s="640"/>
      <c r="D156" s="641"/>
      <c r="E156" s="376" t="str" cm="1">
        <f t="array" ref="E156">_xlfn.XLOOKUP('Technical Sheet'!A150, 'Technical Sheet'!E223:$E$258, 'Table of Contents &amp; Validation'!B35:$B$70, "")</f>
        <v/>
      </c>
      <c r="F156" s="346"/>
    </row>
    <row r="157" spans="1:6" ht="14.4" hidden="1" customHeight="1" outlineLevel="1" x14ac:dyDescent="0.3">
      <c r="A157" s="625"/>
      <c r="B157" s="627"/>
      <c r="C157" s="640"/>
      <c r="D157" s="641"/>
      <c r="E157" s="376" t="str" cm="1">
        <f t="array" ref="E157">_xlfn.XLOOKUP('Technical Sheet'!A151, 'Technical Sheet'!E224:$E$258, 'Table of Contents &amp; Validation'!B36:$B$70, "")</f>
        <v/>
      </c>
      <c r="F157" s="346"/>
    </row>
    <row r="158" spans="1:6" ht="14.4" hidden="1" customHeight="1" outlineLevel="1" x14ac:dyDescent="0.3">
      <c r="A158" s="625"/>
      <c r="B158" s="627"/>
      <c r="C158" s="640"/>
      <c r="D158" s="641"/>
      <c r="E158" s="376" t="str" cm="1">
        <f t="array" ref="E158">_xlfn.XLOOKUP('Technical Sheet'!A152, 'Technical Sheet'!E225:$E$258, 'Table of Contents &amp; Validation'!B37:$B$70, "")</f>
        <v/>
      </c>
      <c r="F158" s="346"/>
    </row>
    <row r="159" spans="1:6" ht="14.4" hidden="1" customHeight="1" outlineLevel="1" x14ac:dyDescent="0.3">
      <c r="A159" s="625"/>
      <c r="B159" s="627"/>
      <c r="C159" s="640"/>
      <c r="D159" s="641"/>
      <c r="E159" s="376" t="str" cm="1">
        <f t="array" ref="E159">_xlfn.XLOOKUP('Technical Sheet'!A153, 'Technical Sheet'!E226:$E$258, 'Table of Contents &amp; Validation'!B38:$B$70, "")</f>
        <v/>
      </c>
      <c r="F159" s="346"/>
    </row>
    <row r="160" spans="1:6" ht="14.4" hidden="1" customHeight="1" outlineLevel="1" x14ac:dyDescent="0.3">
      <c r="A160" s="625"/>
      <c r="B160" s="627"/>
      <c r="C160" s="640"/>
      <c r="D160" s="641"/>
      <c r="E160" s="376" t="str" cm="1">
        <f t="array" ref="E160">_xlfn.XLOOKUP('Technical Sheet'!A154, 'Technical Sheet'!E227:$E$258, 'Table of Contents &amp; Validation'!B39:$B$70, "")</f>
        <v/>
      </c>
      <c r="F160" s="346"/>
    </row>
    <row r="161" spans="1:6" ht="14.4" hidden="1" customHeight="1" outlineLevel="1" x14ac:dyDescent="0.3">
      <c r="A161" s="625"/>
      <c r="B161" s="627"/>
      <c r="C161" s="640"/>
      <c r="D161" s="641"/>
      <c r="E161" s="376" t="str" cm="1">
        <f t="array" ref="E161">_xlfn.XLOOKUP('Technical Sheet'!A155, 'Technical Sheet'!E228:$E$258, 'Table of Contents &amp; Validation'!B40:$B$70, "")</f>
        <v/>
      </c>
      <c r="F161" s="346"/>
    </row>
    <row r="162" spans="1:6" ht="14.4" hidden="1" customHeight="1" outlineLevel="1" x14ac:dyDescent="0.3">
      <c r="A162" s="625"/>
      <c r="B162" s="627"/>
      <c r="C162" s="640"/>
      <c r="D162" s="641"/>
      <c r="E162" s="376" t="str" cm="1">
        <f t="array" ref="E162">_xlfn.XLOOKUP('Technical Sheet'!A156, 'Technical Sheet'!E229:$E$258, 'Table of Contents &amp; Validation'!B41:$B$70, "")</f>
        <v/>
      </c>
      <c r="F162" s="346"/>
    </row>
    <row r="163" spans="1:6" ht="14.4" hidden="1" customHeight="1" outlineLevel="1" x14ac:dyDescent="0.3">
      <c r="A163" s="625"/>
      <c r="B163" s="627"/>
      <c r="C163" s="640"/>
      <c r="D163" s="641"/>
      <c r="E163" s="376" t="str" cm="1">
        <f t="array" ref="E163">_xlfn.XLOOKUP('Technical Sheet'!A157, 'Technical Sheet'!E230:$E$258, 'Table of Contents &amp; Validation'!B42:$B$70, "")</f>
        <v/>
      </c>
      <c r="F163" s="346"/>
    </row>
    <row r="164" spans="1:6" ht="14.4" hidden="1" customHeight="1" outlineLevel="1" x14ac:dyDescent="0.3">
      <c r="A164" s="625"/>
      <c r="B164" s="627"/>
      <c r="C164" s="640"/>
      <c r="D164" s="641"/>
      <c r="E164" s="376" t="str" cm="1">
        <f t="array" ref="E164">_xlfn.XLOOKUP('Technical Sheet'!A158, 'Technical Sheet'!E231:$E$258, 'Table of Contents &amp; Validation'!B43:$B$70, "")</f>
        <v/>
      </c>
      <c r="F164" s="346"/>
    </row>
    <row r="165" spans="1:6" ht="14.4" hidden="1" customHeight="1" outlineLevel="1" x14ac:dyDescent="0.3">
      <c r="A165" s="625"/>
      <c r="B165" s="627"/>
      <c r="C165" s="640"/>
      <c r="D165" s="641"/>
      <c r="E165" s="376" t="str" cm="1">
        <f t="array" ref="E165">_xlfn.XLOOKUP('Technical Sheet'!A159, 'Technical Sheet'!E232:$E$258, 'Table of Contents &amp; Validation'!B44:$B$70, "")</f>
        <v/>
      </c>
      <c r="F165" s="346"/>
    </row>
    <row r="166" spans="1:6" ht="14.4" hidden="1" customHeight="1" outlineLevel="1" x14ac:dyDescent="0.3">
      <c r="A166" s="625"/>
      <c r="B166" s="627"/>
      <c r="C166" s="640"/>
      <c r="D166" s="641"/>
      <c r="E166" s="376" t="str" cm="1">
        <f t="array" ref="E166">_xlfn.XLOOKUP('Technical Sheet'!A160, 'Technical Sheet'!E233:$E$258, 'Table of Contents &amp; Validation'!B45:$B$70, "")</f>
        <v/>
      </c>
      <c r="F166" s="346"/>
    </row>
    <row r="167" spans="1:6" ht="14.4" hidden="1" customHeight="1" outlineLevel="1" x14ac:dyDescent="0.3">
      <c r="A167" s="625"/>
      <c r="B167" s="627"/>
      <c r="C167" s="640"/>
      <c r="D167" s="641"/>
      <c r="E167" s="376" t="str" cm="1">
        <f t="array" ref="E167">_xlfn.XLOOKUP('Technical Sheet'!A161, 'Technical Sheet'!E234:$E$258, 'Table of Contents &amp; Validation'!B46:$B$70, "")</f>
        <v/>
      </c>
      <c r="F167" s="346"/>
    </row>
    <row r="168" spans="1:6" ht="14.4" hidden="1" customHeight="1" outlineLevel="1" x14ac:dyDescent="0.3">
      <c r="A168" s="625"/>
      <c r="B168" s="627"/>
      <c r="C168" s="640"/>
      <c r="D168" s="641"/>
      <c r="E168" s="376" t="str" cm="1">
        <f t="array" ref="E168">_xlfn.XLOOKUP('Technical Sheet'!A162, 'Technical Sheet'!E235:$E$258, 'Table of Contents &amp; Validation'!B47:$B$70, "")</f>
        <v/>
      </c>
      <c r="F168" s="346"/>
    </row>
    <row r="169" spans="1:6" ht="14.4" hidden="1" customHeight="1" outlineLevel="1" x14ac:dyDescent="0.3">
      <c r="A169" s="625"/>
      <c r="B169" s="627"/>
      <c r="C169" s="640"/>
      <c r="D169" s="641"/>
      <c r="E169" s="376" t="str" cm="1">
        <f t="array" ref="E169">_xlfn.XLOOKUP('Technical Sheet'!A163, 'Technical Sheet'!E236:$E$258, 'Table of Contents &amp; Validation'!B48:$B$70, "")</f>
        <v/>
      </c>
      <c r="F169" s="346"/>
    </row>
    <row r="170" spans="1:6" ht="14.4" hidden="1" customHeight="1" outlineLevel="1" x14ac:dyDescent="0.3">
      <c r="A170" s="625"/>
      <c r="B170" s="627"/>
      <c r="C170" s="640"/>
      <c r="D170" s="641"/>
      <c r="E170" s="376" t="str" cm="1">
        <f t="array" ref="E170">_xlfn.XLOOKUP('Technical Sheet'!A164, 'Technical Sheet'!E237:$E$258, 'Table of Contents &amp; Validation'!B49:$B$70, "")</f>
        <v/>
      </c>
      <c r="F170" s="346"/>
    </row>
    <row r="171" spans="1:6" ht="14.4" hidden="1" customHeight="1" outlineLevel="1" x14ac:dyDescent="0.3">
      <c r="A171" s="625"/>
      <c r="B171" s="627"/>
      <c r="C171" s="640"/>
      <c r="D171" s="641"/>
      <c r="E171" s="376" t="str" cm="1">
        <f t="array" ref="E171">_xlfn.XLOOKUP('Technical Sheet'!A165, 'Technical Sheet'!E238:$E$258, 'Table of Contents &amp; Validation'!B50:$B$70, "")</f>
        <v/>
      </c>
      <c r="F171" s="346"/>
    </row>
    <row r="172" spans="1:6" ht="14.4" hidden="1" customHeight="1" outlineLevel="1" x14ac:dyDescent="0.3">
      <c r="A172" s="625"/>
      <c r="B172" s="627"/>
      <c r="C172" s="640"/>
      <c r="D172" s="641"/>
      <c r="E172" s="376" t="str" cm="1">
        <f t="array" ref="E172">_xlfn.XLOOKUP('Technical Sheet'!A166, 'Technical Sheet'!E239:$E$258, 'Table of Contents &amp; Validation'!B51:$B$70, "")</f>
        <v/>
      </c>
      <c r="F172" s="346"/>
    </row>
    <row r="173" spans="1:6" ht="14.4" hidden="1" customHeight="1" outlineLevel="1" x14ac:dyDescent="0.3">
      <c r="A173" s="625"/>
      <c r="B173" s="627"/>
      <c r="C173" s="640"/>
      <c r="D173" s="641"/>
      <c r="E173" s="376" t="str" cm="1">
        <f t="array" ref="E173">_xlfn.XLOOKUP('Technical Sheet'!A167, 'Technical Sheet'!E240:$E$258, 'Table of Contents &amp; Validation'!B52:$B$70, "")</f>
        <v/>
      </c>
      <c r="F173" s="346"/>
    </row>
    <row r="174" spans="1:6" ht="14.4" hidden="1" customHeight="1" outlineLevel="1" x14ac:dyDescent="0.3">
      <c r="A174" s="625"/>
      <c r="B174" s="627"/>
      <c r="C174" s="640"/>
      <c r="D174" s="641"/>
      <c r="E174" s="376" t="str" cm="1">
        <f t="array" ref="E174">_xlfn.XLOOKUP('Technical Sheet'!A168, 'Technical Sheet'!E241:$E$258, 'Table of Contents &amp; Validation'!B53:$B$70, "")</f>
        <v/>
      </c>
      <c r="F174" s="346"/>
    </row>
    <row r="175" spans="1:6" ht="14.4" hidden="1" customHeight="1" outlineLevel="1" x14ac:dyDescent="0.3">
      <c r="A175" s="625"/>
      <c r="B175" s="627"/>
      <c r="C175" s="640"/>
      <c r="D175" s="641"/>
      <c r="E175" s="376" t="str" cm="1">
        <f t="array" ref="E175">_xlfn.XLOOKUP('Technical Sheet'!A169, 'Technical Sheet'!E242:$E$258, 'Table of Contents &amp; Validation'!B54:$B$70, "")</f>
        <v/>
      </c>
      <c r="F175" s="346"/>
    </row>
    <row r="176" spans="1:6" ht="14.4" hidden="1" customHeight="1" outlineLevel="1" thickBot="1" x14ac:dyDescent="0.35">
      <c r="A176" s="625"/>
      <c r="B176" s="628"/>
      <c r="C176" s="640"/>
      <c r="D176" s="641"/>
      <c r="E176" s="376" t="str" cm="1">
        <f t="array" ref="E176">_xlfn.XLOOKUP('Technical Sheet'!A170, 'Technical Sheet'!E243:$E$258, 'Table of Contents &amp; Validation'!B55:$B$70, "")</f>
        <v/>
      </c>
      <c r="F176" s="346"/>
    </row>
    <row r="177" spans="1:7" ht="14.4" customHeight="1" collapsed="1" thickBot="1" x14ac:dyDescent="0.35">
      <c r="A177" s="531"/>
      <c r="B177" s="531"/>
      <c r="C177" s="553"/>
      <c r="D177" s="553"/>
      <c r="E177" s="553"/>
      <c r="F177"/>
    </row>
    <row r="178" spans="1:7" ht="14.4" customHeight="1" thickBot="1" x14ac:dyDescent="0.35">
      <c r="C178" s="629" t="str">
        <f>template_label_b1_other_undertakings_general_information &amp; " " &amp; template_label_from &amp; " " &amp; template_starting_date_display &amp; " " &amp; template_label_to &amp; " " &amp; template_ending_date_display &amp; " " &amp; template_label_always_to_be_reported</f>
        <v xml:space="preserve">B1 - Autres informations générales de l'entreprise du - au - [Toujours à reporter] 
</v>
      </c>
      <c r="D178" s="630"/>
      <c r="E178" s="631"/>
      <c r="F178"/>
    </row>
    <row r="179" spans="1:7" x14ac:dyDescent="0.3">
      <c r="A179" s="381" t="s">
        <v>10</v>
      </c>
      <c r="B179" s="213" t="s">
        <v>8</v>
      </c>
      <c r="C179" s="702" t="str">
        <f>template_label_basis_for_reporting</f>
        <v>Base de présentation (consolidée ou individuelle)</v>
      </c>
      <c r="D179" s="702"/>
      <c r="E179" s="409"/>
      <c r="F179" s="11" t="str">
        <f>IF(
    OR(
        'Table of Contents &amp; Validation'!D13=TRUE,
        'Table of Contents &amp; Validation'!D11=TRUE
    ),
    IF(
        AND(
            OR(
                E125="Option A (Basic Module only)",
                E125="Option B (Basic Module and Comprehensive Module)"
            ),
            E179=""
        ),
        "",
        IF(
            AND(E125&lt;&gt;"", E179&lt;&gt;""),
            template_label_ok,
            ""
        )
    ),
    IF(
        AND(
            OR(
                E125="Option A (Basic Module only)",
                E125="Option B (Basic Module and Comprehensive Module)"
            ),
            E179=""
        ),
        template_label_missing_value,
        IF(
            AND(E125&lt;&gt;"", E179&lt;&gt;""),
            template_label_ok,
            ""
        )
    )
)</f>
        <v/>
      </c>
    </row>
    <row r="180" spans="1:7" x14ac:dyDescent="0.3">
      <c r="A180" s="622" t="s">
        <v>11</v>
      </c>
      <c r="B180" s="623">
        <v>4</v>
      </c>
      <c r="C180" s="632" t="str">
        <f>template_label_undertakings_legal_form</f>
        <v>Forme juridique de l’entreprise</v>
      </c>
      <c r="D180" s="632"/>
      <c r="E180" s="54"/>
      <c r="F180" s="11" t="str">
        <f>IF(OR(
'Table of Contents &amp; Validation'!D13=TRUE, 'Table of Contents &amp; Validation'!D11=TRUE),IF(AND(OR(E125="Option A (Basic Module only)",E125="Option B (Basic Module and Comprehensive Module)"),E180=""),
"",
IF(E125="","",template_label_ok)),
IF(AND(OR(E125="Option A (Basic Module only)",E125="Option B (Basic Module and Comprehensive Module)"),E180=""),
template_label_missing_value,
IF(E125="","",template_label_ok))
)</f>
        <v/>
      </c>
      <c r="G180" t="str">
        <f>template_label_other_warning</f>
        <v>ℹ️ Lorsque "autre" est choisi comme forme juridique de l'entreprise, veuillez remplir la ligne ci-dessous</v>
      </c>
    </row>
    <row r="181" spans="1:7" x14ac:dyDescent="0.3">
      <c r="A181" s="622"/>
      <c r="B181" s="623"/>
      <c r="C181" s="683" t="str">
        <f>template_label_other_undertakings_legal_form_specification</f>
        <v>Autre spécification sur la forme juridique de entreprise</v>
      </c>
      <c r="D181" s="683"/>
      <c r="E181" s="56"/>
      <c r="F181" s="11" t="str">
        <f>IF(
'Table of Contents &amp; Validation'!D12=TRUE,
IF(AND(E180 = "other (please specify the legal form in the row below)", E181 &lt;&gt; ""),
    template_label_ok,
IF(AND(E180 = "other (please specify the legal form in the row below)", E181 = ""),
    template_label_missing_value,
IF(AND(E180 = "", E181 = ""),
    "",
IF(AND(E180 &lt;&gt; "other (please specify the legal form in the row below)", E181 = ""),
    "",
"")))),
IF(AND(E180 = "other (please specify the legal form in the row below)", E181 &lt;&gt; ""),
    template_label_ok,
IF(AND(E180 = "other (please specify the legal form in the row below)", E181 = ""),
    template_label_missing_value,
IF(AND(E180 = "", E181 = ""),
    "",
IF(AND(E180 &lt;&gt; "other (please specify the legal form in the row below)", E181 = ""),
    "",
""))))
)</f>
        <v/>
      </c>
    </row>
    <row r="182" spans="1:7" ht="14.4" customHeight="1" x14ac:dyDescent="0.3">
      <c r="A182" s="622" t="s">
        <v>12</v>
      </c>
      <c r="B182" s="623" t="s">
        <v>13</v>
      </c>
      <c r="C182" s="682" t="str">
        <f>template_label_nace_sector_classification_code</f>
        <v>Code(s) de la nomenclature sectorielle NACE</v>
      </c>
      <c r="D182" s="682"/>
      <c r="E182" s="54"/>
      <c r="F182" s="11" t="str">
        <f>IF(OR(
'Table of Contents &amp; Validation'!D13=TRUE,'Table of Contents &amp; Validation'!D11=TRUE),IF(OR(E125="Option A (Basic Module only)",E125="Option B (Basic Module and Comprehensive Module)"),
IF(COUNTIF(enum_ListNACECategories,E182)&gt;0,template_label_error,
IF(E182="","",
IF(COUNTIF($E$182:$E$281,E182)&gt;1,template_label_value_inconsistency,template_label_ok)
)
),
""
),
IF(OR(E125="Option A (Basic Module only)",E125="Option B (Basic Module and Comprehensive Module)"),
IF(COUNTIF(enum_ListNACECategories,E182)&gt;0,template_label_error,
IF(E182="",template_label_missing_value,
IF(COUNTIF($E$182:$E$281,E182)&gt;1,template_label_value_inconsistency,template_label_ok)
)
),
""
)
)</f>
        <v/>
      </c>
      <c r="G182" t="str">
        <f>template_label_NACE_warning</f>
        <v>ℹ️ Veuillez sélectionner un code NACE plutôt qu'une catégorie, sinon un message d'ERREUR apparaîtra.</v>
      </c>
    </row>
    <row r="183" spans="1:7" ht="14.4" customHeight="1" x14ac:dyDescent="0.3">
      <c r="A183" s="622"/>
      <c r="B183" s="623"/>
      <c r="C183" s="682"/>
      <c r="D183" s="682"/>
      <c r="E183" s="54"/>
      <c r="F183" s="11" t="str">
        <f>IF(COUNTIF(enum_ListNACECategories, E183) &gt; 0, template_label_error,
IF(E183 = "", "",
IF(COUNTIF($E$182:$E$281, E183) &gt; 1, template_label_value_inconsistency, template_label_ok)))</f>
        <v/>
      </c>
    </row>
    <row r="184" spans="1:7" ht="14.4" customHeight="1" x14ac:dyDescent="0.3">
      <c r="A184" s="622"/>
      <c r="B184" s="623"/>
      <c r="C184" s="682"/>
      <c r="D184" s="682"/>
      <c r="E184" s="54"/>
      <c r="F184" s="11" t="str">
        <f t="shared" ref="F184:F214" si="1">IF(COUNTIF(enum_ListNACECategories, E184) &gt; 0, template_label_error,
IF(E184 = "", "",
IF(COUNTIF($E$182:$E$281, E184) &gt; 1, template_label_value_inconsistency, template_label_ok)))</f>
        <v/>
      </c>
    </row>
    <row r="185" spans="1:7" ht="14.4" hidden="1" customHeight="1" outlineLevel="2" x14ac:dyDescent="0.3">
      <c r="A185" s="622"/>
      <c r="B185" s="623"/>
      <c r="C185" s="682"/>
      <c r="D185" s="682"/>
      <c r="E185" s="54"/>
      <c r="F185" s="11" t="str">
        <f t="shared" si="1"/>
        <v/>
      </c>
    </row>
    <row r="186" spans="1:7" ht="14.4" hidden="1" customHeight="1" outlineLevel="2" x14ac:dyDescent="0.3">
      <c r="A186" s="622"/>
      <c r="B186" s="623"/>
      <c r="C186" s="682"/>
      <c r="D186" s="682"/>
      <c r="E186" s="54"/>
      <c r="F186" s="11" t="str">
        <f t="shared" si="1"/>
        <v/>
      </c>
    </row>
    <row r="187" spans="1:7" ht="14.4" hidden="1" customHeight="1" outlineLevel="2" x14ac:dyDescent="0.3">
      <c r="A187" s="622"/>
      <c r="B187" s="623"/>
      <c r="C187" s="682"/>
      <c r="D187" s="682"/>
      <c r="E187" s="54"/>
      <c r="F187" s="11" t="str">
        <f t="shared" si="1"/>
        <v/>
      </c>
    </row>
    <row r="188" spans="1:7" ht="14.4" hidden="1" customHeight="1" outlineLevel="2" x14ac:dyDescent="0.3">
      <c r="A188" s="622"/>
      <c r="B188" s="623"/>
      <c r="C188" s="682"/>
      <c r="D188" s="682"/>
      <c r="E188" s="54"/>
      <c r="F188" s="11" t="str">
        <f t="shared" si="1"/>
        <v/>
      </c>
    </row>
    <row r="189" spans="1:7" ht="14.4" hidden="1" customHeight="1" outlineLevel="2" x14ac:dyDescent="0.3">
      <c r="A189" s="622"/>
      <c r="B189" s="623"/>
      <c r="C189" s="682"/>
      <c r="D189" s="682"/>
      <c r="E189" s="54"/>
      <c r="F189" s="11" t="str">
        <f t="shared" si="1"/>
        <v/>
      </c>
    </row>
    <row r="190" spans="1:7" ht="14.4" hidden="1" customHeight="1" outlineLevel="2" x14ac:dyDescent="0.3">
      <c r="A190" s="622"/>
      <c r="B190" s="623"/>
      <c r="C190" s="682"/>
      <c r="D190" s="682"/>
      <c r="E190" s="54"/>
      <c r="F190" s="11" t="str">
        <f t="shared" si="1"/>
        <v/>
      </c>
    </row>
    <row r="191" spans="1:7" ht="14.4" hidden="1" customHeight="1" outlineLevel="2" x14ac:dyDescent="0.3">
      <c r="A191" s="622"/>
      <c r="B191" s="623"/>
      <c r="C191" s="682"/>
      <c r="D191" s="682"/>
      <c r="E191" s="54"/>
      <c r="F191" s="11" t="str">
        <f t="shared" si="1"/>
        <v/>
      </c>
    </row>
    <row r="192" spans="1:7" ht="14.4" hidden="1" customHeight="1" outlineLevel="2" x14ac:dyDescent="0.3">
      <c r="A192" s="622"/>
      <c r="B192" s="623"/>
      <c r="C192" s="682"/>
      <c r="D192" s="682"/>
      <c r="E192" s="54"/>
      <c r="F192" s="11" t="str">
        <f t="shared" si="1"/>
        <v/>
      </c>
    </row>
    <row r="193" spans="1:6" ht="14.4" hidden="1" customHeight="1" outlineLevel="2" x14ac:dyDescent="0.3">
      <c r="A193" s="622"/>
      <c r="B193" s="623"/>
      <c r="C193" s="682"/>
      <c r="D193" s="682"/>
      <c r="E193" s="54"/>
      <c r="F193" s="11" t="str">
        <f t="shared" si="1"/>
        <v/>
      </c>
    </row>
    <row r="194" spans="1:6" ht="14.4" hidden="1" customHeight="1" outlineLevel="2" x14ac:dyDescent="0.3">
      <c r="A194" s="622"/>
      <c r="B194" s="623"/>
      <c r="C194" s="682"/>
      <c r="D194" s="682"/>
      <c r="E194" s="54"/>
      <c r="F194" s="11" t="str">
        <f t="shared" si="1"/>
        <v/>
      </c>
    </row>
    <row r="195" spans="1:6" ht="14.4" hidden="1" customHeight="1" outlineLevel="2" x14ac:dyDescent="0.3">
      <c r="A195" s="622"/>
      <c r="B195" s="623"/>
      <c r="C195" s="682"/>
      <c r="D195" s="682"/>
      <c r="E195" s="54"/>
      <c r="F195" s="11" t="str">
        <f t="shared" si="1"/>
        <v/>
      </c>
    </row>
    <row r="196" spans="1:6" ht="14.4" hidden="1" customHeight="1" outlineLevel="2" x14ac:dyDescent="0.3">
      <c r="A196" s="622"/>
      <c r="B196" s="623"/>
      <c r="C196" s="682"/>
      <c r="D196" s="682"/>
      <c r="E196" s="54"/>
      <c r="F196" s="11" t="str">
        <f t="shared" si="1"/>
        <v/>
      </c>
    </row>
    <row r="197" spans="1:6" ht="14.4" hidden="1" customHeight="1" outlineLevel="2" x14ac:dyDescent="0.3">
      <c r="A197" s="622"/>
      <c r="B197" s="623"/>
      <c r="C197" s="682"/>
      <c r="D197" s="682"/>
      <c r="E197" s="54"/>
      <c r="F197" s="11" t="str">
        <f t="shared" si="1"/>
        <v/>
      </c>
    </row>
    <row r="198" spans="1:6" ht="14.4" hidden="1" customHeight="1" outlineLevel="2" x14ac:dyDescent="0.3">
      <c r="A198" s="622"/>
      <c r="B198" s="623"/>
      <c r="C198" s="682"/>
      <c r="D198" s="682"/>
      <c r="E198" s="54"/>
      <c r="F198" s="11" t="str">
        <f t="shared" si="1"/>
        <v/>
      </c>
    </row>
    <row r="199" spans="1:6" ht="14.4" hidden="1" customHeight="1" outlineLevel="2" x14ac:dyDescent="0.3">
      <c r="A199" s="622"/>
      <c r="B199" s="623"/>
      <c r="C199" s="682"/>
      <c r="D199" s="682"/>
      <c r="E199" s="54"/>
      <c r="F199" s="11" t="str">
        <f t="shared" si="1"/>
        <v/>
      </c>
    </row>
    <row r="200" spans="1:6" ht="14.4" hidden="1" customHeight="1" outlineLevel="2" x14ac:dyDescent="0.3">
      <c r="A200" s="622"/>
      <c r="B200" s="623"/>
      <c r="C200" s="682"/>
      <c r="D200" s="682"/>
      <c r="E200" s="54"/>
      <c r="F200" s="11" t="str">
        <f t="shared" si="1"/>
        <v/>
      </c>
    </row>
    <row r="201" spans="1:6" ht="14.4" hidden="1" customHeight="1" outlineLevel="2" x14ac:dyDescent="0.3">
      <c r="A201" s="622"/>
      <c r="B201" s="623"/>
      <c r="C201" s="682"/>
      <c r="D201" s="682"/>
      <c r="E201" s="54"/>
      <c r="F201" s="11" t="str">
        <f t="shared" si="1"/>
        <v/>
      </c>
    </row>
    <row r="202" spans="1:6" ht="14.4" hidden="1" customHeight="1" outlineLevel="2" x14ac:dyDescent="0.3">
      <c r="A202" s="622"/>
      <c r="B202" s="623"/>
      <c r="C202" s="682"/>
      <c r="D202" s="682"/>
      <c r="E202" s="54"/>
      <c r="F202" s="11" t="str">
        <f t="shared" si="1"/>
        <v/>
      </c>
    </row>
    <row r="203" spans="1:6" ht="14.4" hidden="1" customHeight="1" outlineLevel="2" x14ac:dyDescent="0.3">
      <c r="A203" s="622"/>
      <c r="B203" s="623"/>
      <c r="C203" s="682"/>
      <c r="D203" s="682"/>
      <c r="E203" s="54"/>
      <c r="F203" s="11" t="str">
        <f t="shared" si="1"/>
        <v/>
      </c>
    </row>
    <row r="204" spans="1:6" ht="14.4" hidden="1" customHeight="1" outlineLevel="2" x14ac:dyDescent="0.3">
      <c r="A204" s="622"/>
      <c r="B204" s="623"/>
      <c r="C204" s="682"/>
      <c r="D204" s="682"/>
      <c r="E204" s="54"/>
      <c r="F204" s="11" t="str">
        <f t="shared" si="1"/>
        <v/>
      </c>
    </row>
    <row r="205" spans="1:6" ht="14.4" hidden="1" customHeight="1" outlineLevel="2" x14ac:dyDescent="0.3">
      <c r="A205" s="622"/>
      <c r="B205" s="623"/>
      <c r="C205" s="682"/>
      <c r="D205" s="682"/>
      <c r="E205" s="54"/>
      <c r="F205" s="11" t="str">
        <f t="shared" si="1"/>
        <v/>
      </c>
    </row>
    <row r="206" spans="1:6" ht="14.4" hidden="1" customHeight="1" outlineLevel="2" x14ac:dyDescent="0.3">
      <c r="A206" s="622"/>
      <c r="B206" s="623"/>
      <c r="C206" s="682"/>
      <c r="D206" s="682"/>
      <c r="E206" s="54"/>
      <c r="F206" s="11" t="str">
        <f t="shared" si="1"/>
        <v/>
      </c>
    </row>
    <row r="207" spans="1:6" ht="14.4" hidden="1" customHeight="1" outlineLevel="2" x14ac:dyDescent="0.3">
      <c r="A207" s="622"/>
      <c r="B207" s="623"/>
      <c r="C207" s="682"/>
      <c r="D207" s="682"/>
      <c r="E207" s="54"/>
      <c r="F207" s="11" t="str">
        <f t="shared" si="1"/>
        <v/>
      </c>
    </row>
    <row r="208" spans="1:6" ht="14.4" hidden="1" customHeight="1" outlineLevel="2" x14ac:dyDescent="0.3">
      <c r="A208" s="622"/>
      <c r="B208" s="623"/>
      <c r="C208" s="682"/>
      <c r="D208" s="682"/>
      <c r="E208" s="54"/>
      <c r="F208" s="11" t="str">
        <f t="shared" si="1"/>
        <v/>
      </c>
    </row>
    <row r="209" spans="1:6" ht="14.4" hidden="1" customHeight="1" outlineLevel="2" x14ac:dyDescent="0.3">
      <c r="A209" s="622"/>
      <c r="B209" s="623"/>
      <c r="C209" s="682"/>
      <c r="D209" s="682"/>
      <c r="E209" s="54"/>
      <c r="F209" s="11" t="str">
        <f t="shared" si="1"/>
        <v/>
      </c>
    </row>
    <row r="210" spans="1:6" ht="14.4" hidden="1" customHeight="1" outlineLevel="2" x14ac:dyDescent="0.3">
      <c r="A210" s="622"/>
      <c r="B210" s="623"/>
      <c r="C210" s="682"/>
      <c r="D210" s="682"/>
      <c r="E210" s="54"/>
      <c r="F210" s="11" t="str">
        <f t="shared" si="1"/>
        <v/>
      </c>
    </row>
    <row r="211" spans="1:6" ht="14.4" hidden="1" customHeight="1" outlineLevel="2" x14ac:dyDescent="0.3">
      <c r="A211" s="622"/>
      <c r="B211" s="623"/>
      <c r="C211" s="682"/>
      <c r="D211" s="682"/>
      <c r="E211" s="54"/>
      <c r="F211" s="11" t="str">
        <f t="shared" si="1"/>
        <v/>
      </c>
    </row>
    <row r="212" spans="1:6" ht="14.4" hidden="1" customHeight="1" outlineLevel="2" x14ac:dyDescent="0.3">
      <c r="A212" s="622"/>
      <c r="B212" s="623"/>
      <c r="C212" s="682"/>
      <c r="D212" s="682"/>
      <c r="E212" s="54"/>
      <c r="F212" s="11" t="str">
        <f t="shared" si="1"/>
        <v/>
      </c>
    </row>
    <row r="213" spans="1:6" ht="14.4" hidden="1" customHeight="1" outlineLevel="2" x14ac:dyDescent="0.3">
      <c r="A213" s="622"/>
      <c r="B213" s="623"/>
      <c r="C213" s="682"/>
      <c r="D213" s="682"/>
      <c r="E213" s="54"/>
      <c r="F213" s="11" t="str">
        <f t="shared" si="1"/>
        <v/>
      </c>
    </row>
    <row r="214" spans="1:6" ht="14.4" hidden="1" customHeight="1" outlineLevel="2" x14ac:dyDescent="0.3">
      <c r="A214" s="622"/>
      <c r="B214" s="623"/>
      <c r="C214" s="682"/>
      <c r="D214" s="682"/>
      <c r="E214" s="54"/>
      <c r="F214" s="11" t="str">
        <f t="shared" si="1"/>
        <v/>
      </c>
    </row>
    <row r="215" spans="1:6" ht="14.4" hidden="1" customHeight="1" outlineLevel="2" x14ac:dyDescent="0.3">
      <c r="A215" s="622"/>
      <c r="B215" s="623"/>
      <c r="C215" s="682"/>
      <c r="D215" s="682"/>
      <c r="E215" s="54"/>
      <c r="F215" s="11" t="str">
        <f t="shared" ref="F215:F246" si="2">IF(COUNTIF(enum_ListNACECategories, E215) &gt; 0, template_label_error,
IF(E215 = "", "",
IF(COUNTIF($E$182:$E$281, E215) &gt; 1, template_label_value_inconsistency, template_label_ok)))</f>
        <v/>
      </c>
    </row>
    <row r="216" spans="1:6" ht="14.4" hidden="1" customHeight="1" outlineLevel="2" x14ac:dyDescent="0.3">
      <c r="A216" s="622"/>
      <c r="B216" s="623"/>
      <c r="C216" s="682"/>
      <c r="D216" s="682"/>
      <c r="E216" s="54"/>
      <c r="F216" s="11" t="str">
        <f t="shared" si="2"/>
        <v/>
      </c>
    </row>
    <row r="217" spans="1:6" ht="14.4" hidden="1" customHeight="1" outlineLevel="2" x14ac:dyDescent="0.3">
      <c r="A217" s="622"/>
      <c r="B217" s="623"/>
      <c r="C217" s="682"/>
      <c r="D217" s="682"/>
      <c r="E217" s="54"/>
      <c r="F217" s="11" t="str">
        <f t="shared" si="2"/>
        <v/>
      </c>
    </row>
    <row r="218" spans="1:6" ht="14.4" hidden="1" customHeight="1" outlineLevel="2" x14ac:dyDescent="0.3">
      <c r="A218" s="622"/>
      <c r="B218" s="623"/>
      <c r="C218" s="682"/>
      <c r="D218" s="682"/>
      <c r="E218" s="54"/>
      <c r="F218" s="11" t="str">
        <f t="shared" si="2"/>
        <v/>
      </c>
    </row>
    <row r="219" spans="1:6" ht="14.4" hidden="1" customHeight="1" outlineLevel="2" x14ac:dyDescent="0.3">
      <c r="A219" s="622"/>
      <c r="B219" s="623"/>
      <c r="C219" s="682"/>
      <c r="D219" s="682"/>
      <c r="E219" s="54"/>
      <c r="F219" s="11" t="str">
        <f t="shared" si="2"/>
        <v/>
      </c>
    </row>
    <row r="220" spans="1:6" ht="14.4" hidden="1" customHeight="1" outlineLevel="2" x14ac:dyDescent="0.3">
      <c r="A220" s="622"/>
      <c r="B220" s="623"/>
      <c r="C220" s="682"/>
      <c r="D220" s="682"/>
      <c r="E220" s="54"/>
      <c r="F220" s="11" t="str">
        <f t="shared" si="2"/>
        <v/>
      </c>
    </row>
    <row r="221" spans="1:6" ht="14.4" hidden="1" customHeight="1" outlineLevel="2" x14ac:dyDescent="0.3">
      <c r="A221" s="622"/>
      <c r="B221" s="623"/>
      <c r="C221" s="682"/>
      <c r="D221" s="682"/>
      <c r="E221" s="54"/>
      <c r="F221" s="11" t="str">
        <f t="shared" si="2"/>
        <v/>
      </c>
    </row>
    <row r="222" spans="1:6" ht="14.4" hidden="1" customHeight="1" outlineLevel="2" x14ac:dyDescent="0.3">
      <c r="A222" s="622"/>
      <c r="B222" s="623"/>
      <c r="C222" s="682"/>
      <c r="D222" s="682"/>
      <c r="E222" s="54"/>
      <c r="F222" s="11" t="str">
        <f t="shared" si="2"/>
        <v/>
      </c>
    </row>
    <row r="223" spans="1:6" ht="14.4" hidden="1" customHeight="1" outlineLevel="2" x14ac:dyDescent="0.3">
      <c r="A223" s="622"/>
      <c r="B223" s="623"/>
      <c r="C223" s="682"/>
      <c r="D223" s="682"/>
      <c r="E223" s="54"/>
      <c r="F223" s="11" t="str">
        <f t="shared" si="2"/>
        <v/>
      </c>
    </row>
    <row r="224" spans="1:6" ht="14.4" hidden="1" customHeight="1" outlineLevel="2" x14ac:dyDescent="0.3">
      <c r="A224" s="622"/>
      <c r="B224" s="623"/>
      <c r="C224" s="682"/>
      <c r="D224" s="682"/>
      <c r="E224" s="54"/>
      <c r="F224" s="11" t="str">
        <f t="shared" si="2"/>
        <v/>
      </c>
    </row>
    <row r="225" spans="1:6" ht="14.4" hidden="1" customHeight="1" outlineLevel="2" x14ac:dyDescent="0.3">
      <c r="A225" s="622"/>
      <c r="B225" s="623"/>
      <c r="C225" s="682"/>
      <c r="D225" s="682"/>
      <c r="E225" s="54"/>
      <c r="F225" s="11" t="str">
        <f t="shared" si="2"/>
        <v/>
      </c>
    </row>
    <row r="226" spans="1:6" ht="14.4" hidden="1" customHeight="1" outlineLevel="2" x14ac:dyDescent="0.3">
      <c r="A226" s="622"/>
      <c r="B226" s="623"/>
      <c r="C226" s="682"/>
      <c r="D226" s="682"/>
      <c r="E226" s="54"/>
      <c r="F226" s="11" t="str">
        <f t="shared" si="2"/>
        <v/>
      </c>
    </row>
    <row r="227" spans="1:6" ht="14.4" hidden="1" customHeight="1" outlineLevel="2" x14ac:dyDescent="0.3">
      <c r="A227" s="622"/>
      <c r="B227" s="623"/>
      <c r="C227" s="682"/>
      <c r="D227" s="682"/>
      <c r="E227" s="54"/>
      <c r="F227" s="11" t="str">
        <f t="shared" si="2"/>
        <v/>
      </c>
    </row>
    <row r="228" spans="1:6" ht="14.4" hidden="1" customHeight="1" outlineLevel="2" x14ac:dyDescent="0.3">
      <c r="A228" s="622"/>
      <c r="B228" s="623"/>
      <c r="C228" s="682"/>
      <c r="D228" s="682"/>
      <c r="E228" s="54"/>
      <c r="F228" s="11" t="str">
        <f t="shared" si="2"/>
        <v/>
      </c>
    </row>
    <row r="229" spans="1:6" ht="14.4" hidden="1" customHeight="1" outlineLevel="2" x14ac:dyDescent="0.3">
      <c r="A229" s="622"/>
      <c r="B229" s="623"/>
      <c r="C229" s="682"/>
      <c r="D229" s="682"/>
      <c r="E229" s="54"/>
      <c r="F229" s="11" t="str">
        <f t="shared" si="2"/>
        <v/>
      </c>
    </row>
    <row r="230" spans="1:6" ht="14.4" hidden="1" customHeight="1" outlineLevel="2" x14ac:dyDescent="0.3">
      <c r="A230" s="622"/>
      <c r="B230" s="623"/>
      <c r="C230" s="682"/>
      <c r="D230" s="682"/>
      <c r="E230" s="54"/>
      <c r="F230" s="11" t="str">
        <f t="shared" si="2"/>
        <v/>
      </c>
    </row>
    <row r="231" spans="1:6" ht="14.4" hidden="1" customHeight="1" outlineLevel="2" x14ac:dyDescent="0.3">
      <c r="A231" s="622"/>
      <c r="B231" s="623"/>
      <c r="C231" s="682"/>
      <c r="D231" s="682"/>
      <c r="E231" s="54"/>
      <c r="F231" s="11" t="str">
        <f t="shared" si="2"/>
        <v/>
      </c>
    </row>
    <row r="232" spans="1:6" ht="14.4" hidden="1" customHeight="1" outlineLevel="2" x14ac:dyDescent="0.3">
      <c r="A232" s="622"/>
      <c r="B232" s="623"/>
      <c r="C232" s="682"/>
      <c r="D232" s="682"/>
      <c r="E232" s="54"/>
      <c r="F232" s="11" t="str">
        <f t="shared" si="2"/>
        <v/>
      </c>
    </row>
    <row r="233" spans="1:6" ht="14.4" hidden="1" customHeight="1" outlineLevel="2" x14ac:dyDescent="0.3">
      <c r="A233" s="622"/>
      <c r="B233" s="623"/>
      <c r="C233" s="682"/>
      <c r="D233" s="682"/>
      <c r="E233" s="54"/>
      <c r="F233" s="11" t="str">
        <f t="shared" si="2"/>
        <v/>
      </c>
    </row>
    <row r="234" spans="1:6" ht="14.4" hidden="1" customHeight="1" outlineLevel="2" x14ac:dyDescent="0.3">
      <c r="A234" s="622"/>
      <c r="B234" s="623"/>
      <c r="C234" s="682"/>
      <c r="D234" s="682"/>
      <c r="E234" s="54"/>
      <c r="F234" s="11" t="str">
        <f t="shared" si="2"/>
        <v/>
      </c>
    </row>
    <row r="235" spans="1:6" ht="14.4" hidden="1" customHeight="1" outlineLevel="2" x14ac:dyDescent="0.3">
      <c r="A235" s="622"/>
      <c r="B235" s="623"/>
      <c r="C235" s="682"/>
      <c r="D235" s="682"/>
      <c r="E235" s="54"/>
      <c r="F235" s="11" t="str">
        <f t="shared" si="2"/>
        <v/>
      </c>
    </row>
    <row r="236" spans="1:6" ht="14.4" hidden="1" customHeight="1" outlineLevel="2" x14ac:dyDescent="0.3">
      <c r="A236" s="622"/>
      <c r="B236" s="623"/>
      <c r="C236" s="682"/>
      <c r="D236" s="682"/>
      <c r="E236" s="54"/>
      <c r="F236" s="11" t="str">
        <f t="shared" si="2"/>
        <v/>
      </c>
    </row>
    <row r="237" spans="1:6" ht="14.4" hidden="1" customHeight="1" outlineLevel="2" x14ac:dyDescent="0.3">
      <c r="A237" s="622"/>
      <c r="B237" s="623"/>
      <c r="C237" s="682"/>
      <c r="D237" s="682"/>
      <c r="E237" s="54"/>
      <c r="F237" s="11" t="str">
        <f t="shared" si="2"/>
        <v/>
      </c>
    </row>
    <row r="238" spans="1:6" ht="14.4" hidden="1" customHeight="1" outlineLevel="2" x14ac:dyDescent="0.3">
      <c r="A238" s="622"/>
      <c r="B238" s="623"/>
      <c r="C238" s="682"/>
      <c r="D238" s="682"/>
      <c r="E238" s="54"/>
      <c r="F238" s="11" t="str">
        <f t="shared" si="2"/>
        <v/>
      </c>
    </row>
    <row r="239" spans="1:6" ht="14.4" hidden="1" customHeight="1" outlineLevel="2" x14ac:dyDescent="0.3">
      <c r="A239" s="622"/>
      <c r="B239" s="623"/>
      <c r="C239" s="682"/>
      <c r="D239" s="682"/>
      <c r="E239" s="54"/>
      <c r="F239" s="11" t="str">
        <f t="shared" si="2"/>
        <v/>
      </c>
    </row>
    <row r="240" spans="1:6" ht="14.4" hidden="1" customHeight="1" outlineLevel="2" x14ac:dyDescent="0.3">
      <c r="A240" s="622"/>
      <c r="B240" s="623"/>
      <c r="C240" s="682"/>
      <c r="D240" s="682"/>
      <c r="E240" s="54"/>
      <c r="F240" s="11" t="str">
        <f t="shared" si="2"/>
        <v/>
      </c>
    </row>
    <row r="241" spans="1:6" ht="14.4" hidden="1" customHeight="1" outlineLevel="2" x14ac:dyDescent="0.3">
      <c r="A241" s="622"/>
      <c r="B241" s="623"/>
      <c r="C241" s="682"/>
      <c r="D241" s="682"/>
      <c r="E241" s="54"/>
      <c r="F241" s="11" t="str">
        <f t="shared" si="2"/>
        <v/>
      </c>
    </row>
    <row r="242" spans="1:6" ht="14.4" hidden="1" customHeight="1" outlineLevel="2" x14ac:dyDescent="0.3">
      <c r="A242" s="622"/>
      <c r="B242" s="623"/>
      <c r="C242" s="682"/>
      <c r="D242" s="682"/>
      <c r="E242" s="54"/>
      <c r="F242" s="11" t="str">
        <f t="shared" si="2"/>
        <v/>
      </c>
    </row>
    <row r="243" spans="1:6" ht="14.4" hidden="1" customHeight="1" outlineLevel="2" x14ac:dyDescent="0.3">
      <c r="A243" s="622"/>
      <c r="B243" s="623"/>
      <c r="C243" s="682"/>
      <c r="D243" s="682"/>
      <c r="E243" s="54"/>
      <c r="F243" s="11" t="str">
        <f t="shared" si="2"/>
        <v/>
      </c>
    </row>
    <row r="244" spans="1:6" ht="14.4" hidden="1" customHeight="1" outlineLevel="2" x14ac:dyDescent="0.3">
      <c r="A244" s="622"/>
      <c r="B244" s="623"/>
      <c r="C244" s="682"/>
      <c r="D244" s="682"/>
      <c r="E244" s="54"/>
      <c r="F244" s="11" t="str">
        <f t="shared" si="2"/>
        <v/>
      </c>
    </row>
    <row r="245" spans="1:6" ht="14.4" hidden="1" customHeight="1" outlineLevel="2" x14ac:dyDescent="0.3">
      <c r="A245" s="622"/>
      <c r="B245" s="623"/>
      <c r="C245" s="682"/>
      <c r="D245" s="682"/>
      <c r="E245" s="54"/>
      <c r="F245" s="11" t="str">
        <f t="shared" si="2"/>
        <v/>
      </c>
    </row>
    <row r="246" spans="1:6" ht="14.4" hidden="1" customHeight="1" outlineLevel="2" x14ac:dyDescent="0.3">
      <c r="A246" s="622"/>
      <c r="B246" s="623"/>
      <c r="C246" s="682"/>
      <c r="D246" s="682"/>
      <c r="E246" s="54"/>
      <c r="F246" s="11" t="str">
        <f t="shared" si="2"/>
        <v/>
      </c>
    </row>
    <row r="247" spans="1:6" ht="14.4" hidden="1" customHeight="1" outlineLevel="2" x14ac:dyDescent="0.3">
      <c r="A247" s="622"/>
      <c r="B247" s="623"/>
      <c r="C247" s="682"/>
      <c r="D247" s="682"/>
      <c r="E247" s="54"/>
      <c r="F247" s="11" t="str">
        <f t="shared" ref="F247:F278" si="3">IF(COUNTIF(enum_ListNACECategories, E247) &gt; 0, template_label_error,
IF(E247 = "", "",
IF(COUNTIF($E$182:$E$281, E247) &gt; 1, template_label_value_inconsistency, template_label_ok)))</f>
        <v/>
      </c>
    </row>
    <row r="248" spans="1:6" ht="14.4" hidden="1" customHeight="1" outlineLevel="2" x14ac:dyDescent="0.3">
      <c r="A248" s="622"/>
      <c r="B248" s="623"/>
      <c r="C248" s="682"/>
      <c r="D248" s="682"/>
      <c r="E248" s="54"/>
      <c r="F248" s="11" t="str">
        <f t="shared" si="3"/>
        <v/>
      </c>
    </row>
    <row r="249" spans="1:6" ht="14.4" hidden="1" customHeight="1" outlineLevel="2" x14ac:dyDescent="0.3">
      <c r="A249" s="622"/>
      <c r="B249" s="623"/>
      <c r="C249" s="682"/>
      <c r="D249" s="682"/>
      <c r="E249" s="54"/>
      <c r="F249" s="11" t="str">
        <f t="shared" si="3"/>
        <v/>
      </c>
    </row>
    <row r="250" spans="1:6" ht="14.4" hidden="1" customHeight="1" outlineLevel="2" x14ac:dyDescent="0.3">
      <c r="A250" s="622"/>
      <c r="B250" s="623"/>
      <c r="C250" s="682"/>
      <c r="D250" s="682"/>
      <c r="E250" s="54"/>
      <c r="F250" s="11" t="str">
        <f t="shared" si="3"/>
        <v/>
      </c>
    </row>
    <row r="251" spans="1:6" ht="14.4" hidden="1" customHeight="1" outlineLevel="2" x14ac:dyDescent="0.3">
      <c r="A251" s="622"/>
      <c r="B251" s="623"/>
      <c r="C251" s="682"/>
      <c r="D251" s="682"/>
      <c r="E251" s="54"/>
      <c r="F251" s="11" t="str">
        <f t="shared" si="3"/>
        <v/>
      </c>
    </row>
    <row r="252" spans="1:6" ht="14.4" hidden="1" customHeight="1" outlineLevel="2" x14ac:dyDescent="0.3">
      <c r="A252" s="622"/>
      <c r="B252" s="623"/>
      <c r="C252" s="682"/>
      <c r="D252" s="682"/>
      <c r="E252" s="54"/>
      <c r="F252" s="11" t="str">
        <f t="shared" si="3"/>
        <v/>
      </c>
    </row>
    <row r="253" spans="1:6" ht="14.4" hidden="1" customHeight="1" outlineLevel="2" x14ac:dyDescent="0.3">
      <c r="A253" s="622"/>
      <c r="B253" s="623"/>
      <c r="C253" s="682"/>
      <c r="D253" s="682"/>
      <c r="E253" s="54"/>
      <c r="F253" s="11" t="str">
        <f t="shared" si="3"/>
        <v/>
      </c>
    </row>
    <row r="254" spans="1:6" ht="14.4" hidden="1" customHeight="1" outlineLevel="2" x14ac:dyDescent="0.3">
      <c r="A254" s="622"/>
      <c r="B254" s="623"/>
      <c r="C254" s="682"/>
      <c r="D254" s="682"/>
      <c r="E254" s="54"/>
      <c r="F254" s="11" t="str">
        <f t="shared" si="3"/>
        <v/>
      </c>
    </row>
    <row r="255" spans="1:6" ht="14.4" hidden="1" customHeight="1" outlineLevel="2" x14ac:dyDescent="0.3">
      <c r="A255" s="622"/>
      <c r="B255" s="623"/>
      <c r="C255" s="682"/>
      <c r="D255" s="682"/>
      <c r="E255" s="54"/>
      <c r="F255" s="11" t="str">
        <f t="shared" si="3"/>
        <v/>
      </c>
    </row>
    <row r="256" spans="1:6" ht="14.4" hidden="1" customHeight="1" outlineLevel="2" x14ac:dyDescent="0.3">
      <c r="A256" s="622"/>
      <c r="B256" s="623"/>
      <c r="C256" s="682"/>
      <c r="D256" s="682"/>
      <c r="E256" s="54"/>
      <c r="F256" s="11" t="str">
        <f t="shared" si="3"/>
        <v/>
      </c>
    </row>
    <row r="257" spans="1:6" ht="14.4" hidden="1" customHeight="1" outlineLevel="2" x14ac:dyDescent="0.3">
      <c r="A257" s="622"/>
      <c r="B257" s="623"/>
      <c r="C257" s="682"/>
      <c r="D257" s="682"/>
      <c r="E257" s="54"/>
      <c r="F257" s="11" t="str">
        <f t="shared" si="3"/>
        <v/>
      </c>
    </row>
    <row r="258" spans="1:6" ht="14.4" hidden="1" customHeight="1" outlineLevel="2" x14ac:dyDescent="0.3">
      <c r="A258" s="622"/>
      <c r="B258" s="623"/>
      <c r="C258" s="682"/>
      <c r="D258" s="682"/>
      <c r="E258" s="54"/>
      <c r="F258" s="11" t="str">
        <f t="shared" si="3"/>
        <v/>
      </c>
    </row>
    <row r="259" spans="1:6" ht="14.4" hidden="1" customHeight="1" outlineLevel="2" x14ac:dyDescent="0.3">
      <c r="A259" s="622"/>
      <c r="B259" s="623"/>
      <c r="C259" s="682"/>
      <c r="D259" s="682"/>
      <c r="E259" s="54"/>
      <c r="F259" s="11" t="str">
        <f t="shared" si="3"/>
        <v/>
      </c>
    </row>
    <row r="260" spans="1:6" ht="14.4" hidden="1" customHeight="1" outlineLevel="2" x14ac:dyDescent="0.3">
      <c r="A260" s="622"/>
      <c r="B260" s="623"/>
      <c r="C260" s="682"/>
      <c r="D260" s="682"/>
      <c r="E260" s="54"/>
      <c r="F260" s="11" t="str">
        <f t="shared" si="3"/>
        <v/>
      </c>
    </row>
    <row r="261" spans="1:6" ht="14.4" hidden="1" customHeight="1" outlineLevel="2" x14ac:dyDescent="0.3">
      <c r="A261" s="622"/>
      <c r="B261" s="623"/>
      <c r="C261" s="682"/>
      <c r="D261" s="682"/>
      <c r="E261" s="54"/>
      <c r="F261" s="11" t="str">
        <f t="shared" si="3"/>
        <v/>
      </c>
    </row>
    <row r="262" spans="1:6" ht="14.4" hidden="1" customHeight="1" outlineLevel="2" x14ac:dyDescent="0.3">
      <c r="A262" s="622"/>
      <c r="B262" s="623"/>
      <c r="C262" s="682"/>
      <c r="D262" s="682"/>
      <c r="E262" s="54"/>
      <c r="F262" s="11" t="str">
        <f t="shared" si="3"/>
        <v/>
      </c>
    </row>
    <row r="263" spans="1:6" ht="14.4" hidden="1" customHeight="1" outlineLevel="2" x14ac:dyDescent="0.3">
      <c r="A263" s="622"/>
      <c r="B263" s="623"/>
      <c r="C263" s="682"/>
      <c r="D263" s="682"/>
      <c r="E263" s="54"/>
      <c r="F263" s="11" t="str">
        <f t="shared" si="3"/>
        <v/>
      </c>
    </row>
    <row r="264" spans="1:6" ht="14.4" hidden="1" customHeight="1" outlineLevel="2" x14ac:dyDescent="0.3">
      <c r="A264" s="622"/>
      <c r="B264" s="623"/>
      <c r="C264" s="682"/>
      <c r="D264" s="682"/>
      <c r="E264" s="54"/>
      <c r="F264" s="11" t="str">
        <f t="shared" si="3"/>
        <v/>
      </c>
    </row>
    <row r="265" spans="1:6" ht="14.4" hidden="1" customHeight="1" outlineLevel="2" x14ac:dyDescent="0.3">
      <c r="A265" s="622"/>
      <c r="B265" s="623"/>
      <c r="C265" s="682"/>
      <c r="D265" s="682"/>
      <c r="E265" s="54"/>
      <c r="F265" s="11" t="str">
        <f t="shared" si="3"/>
        <v/>
      </c>
    </row>
    <row r="266" spans="1:6" ht="14.4" hidden="1" customHeight="1" outlineLevel="2" x14ac:dyDescent="0.3">
      <c r="A266" s="622"/>
      <c r="B266" s="623"/>
      <c r="C266" s="682"/>
      <c r="D266" s="682"/>
      <c r="E266" s="54"/>
      <c r="F266" s="11" t="str">
        <f t="shared" si="3"/>
        <v/>
      </c>
    </row>
    <row r="267" spans="1:6" ht="14.4" hidden="1" customHeight="1" outlineLevel="2" x14ac:dyDescent="0.3">
      <c r="A267" s="622"/>
      <c r="B267" s="623"/>
      <c r="C267" s="682"/>
      <c r="D267" s="682"/>
      <c r="E267" s="54"/>
      <c r="F267" s="11" t="str">
        <f t="shared" si="3"/>
        <v/>
      </c>
    </row>
    <row r="268" spans="1:6" ht="14.4" hidden="1" customHeight="1" outlineLevel="2" x14ac:dyDescent="0.3">
      <c r="A268" s="622"/>
      <c r="B268" s="623"/>
      <c r="C268" s="682"/>
      <c r="D268" s="682"/>
      <c r="E268" s="54"/>
      <c r="F268" s="11" t="str">
        <f t="shared" si="3"/>
        <v/>
      </c>
    </row>
    <row r="269" spans="1:6" ht="14.4" hidden="1" customHeight="1" outlineLevel="2" x14ac:dyDescent="0.3">
      <c r="A269" s="622"/>
      <c r="B269" s="623"/>
      <c r="C269" s="682"/>
      <c r="D269" s="682"/>
      <c r="E269" s="54"/>
      <c r="F269" s="11" t="str">
        <f t="shared" si="3"/>
        <v/>
      </c>
    </row>
    <row r="270" spans="1:6" ht="14.4" hidden="1" customHeight="1" outlineLevel="2" x14ac:dyDescent="0.3">
      <c r="A270" s="622"/>
      <c r="B270" s="623"/>
      <c r="C270" s="682"/>
      <c r="D270" s="682"/>
      <c r="E270" s="54"/>
      <c r="F270" s="11" t="str">
        <f t="shared" si="3"/>
        <v/>
      </c>
    </row>
    <row r="271" spans="1:6" ht="14.4" hidden="1" customHeight="1" outlineLevel="2" x14ac:dyDescent="0.3">
      <c r="A271" s="622"/>
      <c r="B271" s="623"/>
      <c r="C271" s="682"/>
      <c r="D271" s="682"/>
      <c r="E271" s="54"/>
      <c r="F271" s="11" t="str">
        <f t="shared" si="3"/>
        <v/>
      </c>
    </row>
    <row r="272" spans="1:6" ht="14.4" hidden="1" customHeight="1" outlineLevel="2" x14ac:dyDescent="0.3">
      <c r="A272" s="622"/>
      <c r="B272" s="623"/>
      <c r="C272" s="682"/>
      <c r="D272" s="682"/>
      <c r="E272" s="54"/>
      <c r="F272" s="11" t="str">
        <f t="shared" si="3"/>
        <v/>
      </c>
    </row>
    <row r="273" spans="1:6" ht="14.4" hidden="1" customHeight="1" outlineLevel="2" x14ac:dyDescent="0.3">
      <c r="A273" s="622"/>
      <c r="B273" s="623"/>
      <c r="C273" s="682"/>
      <c r="D273" s="682"/>
      <c r="E273" s="54"/>
      <c r="F273" s="11" t="str">
        <f t="shared" si="3"/>
        <v/>
      </c>
    </row>
    <row r="274" spans="1:6" ht="14.4" hidden="1" customHeight="1" outlineLevel="2" x14ac:dyDescent="0.3">
      <c r="A274" s="622"/>
      <c r="B274" s="623"/>
      <c r="C274" s="682"/>
      <c r="D274" s="682"/>
      <c r="E274" s="54"/>
      <c r="F274" s="11" t="str">
        <f t="shared" si="3"/>
        <v/>
      </c>
    </row>
    <row r="275" spans="1:6" ht="14.4" hidden="1" customHeight="1" outlineLevel="2" x14ac:dyDescent="0.3">
      <c r="A275" s="622"/>
      <c r="B275" s="623"/>
      <c r="C275" s="682"/>
      <c r="D275" s="682"/>
      <c r="E275" s="54"/>
      <c r="F275" s="11" t="str">
        <f t="shared" si="3"/>
        <v/>
      </c>
    </row>
    <row r="276" spans="1:6" ht="14.4" hidden="1" customHeight="1" outlineLevel="2" x14ac:dyDescent="0.3">
      <c r="A276" s="622"/>
      <c r="B276" s="623"/>
      <c r="C276" s="682"/>
      <c r="D276" s="682"/>
      <c r="E276" s="54"/>
      <c r="F276" s="11" t="str">
        <f t="shared" si="3"/>
        <v/>
      </c>
    </row>
    <row r="277" spans="1:6" ht="14.4" hidden="1" customHeight="1" outlineLevel="2" x14ac:dyDescent="0.3">
      <c r="A277" s="622"/>
      <c r="B277" s="623"/>
      <c r="C277" s="682"/>
      <c r="D277" s="682"/>
      <c r="E277" s="54"/>
      <c r="F277" s="11" t="str">
        <f t="shared" si="3"/>
        <v/>
      </c>
    </row>
    <row r="278" spans="1:6" ht="14.4" hidden="1" customHeight="1" outlineLevel="2" x14ac:dyDescent="0.3">
      <c r="A278" s="622"/>
      <c r="B278" s="623"/>
      <c r="C278" s="682"/>
      <c r="D278" s="682"/>
      <c r="E278" s="54"/>
      <c r="F278" s="11" t="str">
        <f t="shared" si="3"/>
        <v/>
      </c>
    </row>
    <row r="279" spans="1:6" ht="14.4" hidden="1" customHeight="1" outlineLevel="2" x14ac:dyDescent="0.3">
      <c r="A279" s="622"/>
      <c r="B279" s="623"/>
      <c r="C279" s="682"/>
      <c r="D279" s="682"/>
      <c r="E279" s="54"/>
      <c r="F279" s="11" t="str">
        <f t="shared" ref="F279:F281" si="4">IF(COUNTIF(enum_ListNACECategories, E279) &gt; 0, template_label_error,
IF(E279 = "", "",
IF(COUNTIF($E$182:$E$281, E279) &gt; 1, template_label_value_inconsistency, template_label_ok)))</f>
        <v/>
      </c>
    </row>
    <row r="280" spans="1:6" ht="14.4" hidden="1" customHeight="1" outlineLevel="2" x14ac:dyDescent="0.3">
      <c r="A280" s="622"/>
      <c r="B280" s="623"/>
      <c r="C280" s="682"/>
      <c r="D280" s="682"/>
      <c r="E280" s="54"/>
      <c r="F280" s="11" t="str">
        <f t="shared" si="4"/>
        <v/>
      </c>
    </row>
    <row r="281" spans="1:6" ht="14.4" hidden="1" customHeight="1" outlineLevel="2" x14ac:dyDescent="0.3">
      <c r="A281" s="622"/>
      <c r="B281" s="623"/>
      <c r="C281" s="682"/>
      <c r="D281" s="682"/>
      <c r="E281" s="54"/>
      <c r="F281" s="11" t="str">
        <f t="shared" si="4"/>
        <v/>
      </c>
    </row>
    <row r="282" spans="1:6" ht="14.4" customHeight="1" collapsed="1" x14ac:dyDescent="0.3">
      <c r="A282" s="381" t="s">
        <v>14</v>
      </c>
      <c r="B282" s="213" t="s">
        <v>8</v>
      </c>
      <c r="C282" s="632" t="str">
        <f>template_label_size_of_balance_sheet_in &amp; " " &amp; template_currency</f>
        <v xml:space="preserve">Total du bilan (total des actifs) en </v>
      </c>
      <c r="D282" s="632"/>
      <c r="E282" s="57"/>
      <c r="F282" s="11" t="str">
        <f>IF(OR(
'Table of Contents &amp; Validation'!D13=TRUE,'Table of Contents &amp; Validation'!D11=TRUE),IF(AND(OR(E125="Option A (Basic Module only)",E125="Option B (Basic Module and Comprehensive Module)"),E282=""),
"",
IF(E125="","",template_label_ok)),
IF(AND(OR(E125="Option A (Basic Module only)",E125="Option B (Basic Module and Comprehensive Module)"),E282=""),
template_label_missing_value,
IF(E125="","",template_label_ok))
)</f>
        <v/>
      </c>
    </row>
    <row r="283" spans="1:6" ht="14.4" customHeight="1" x14ac:dyDescent="0.3">
      <c r="A283" s="381" t="s">
        <v>15</v>
      </c>
      <c r="B283" s="213" t="s">
        <v>8</v>
      </c>
      <c r="C283" s="632" t="str">
        <f>template_label_turnover_in &amp; " " &amp; template_currency</f>
        <v xml:space="preserve">Chiffre d'affaires en </v>
      </c>
      <c r="D283" s="632"/>
      <c r="E283" s="57"/>
      <c r="F283" s="11" t="str">
        <f>IF(OR(
'Table of Contents &amp; Validation'!D13=TRUE,'Table of Contents &amp; Validation'!D11=TRUE),
IF(AND(OR(E125 = "Option A (Basic Module only)", E125 = "Option B (Basic Module and Comprehensive Module)"), E283 = ""),
    "",
    IF(E125 = "", "", template_label_ok)),
IF(AND(OR(E125 = "Option A (Basic Module only)", E125 = "Option B (Basic Module and Comprehensive Module)"), E283 = ""),
    template_label_missing_value,
    IF(E125 = "", "", template_label_ok))
)</f>
        <v/>
      </c>
    </row>
    <row r="284" spans="1:6" ht="14.4" customHeight="1" x14ac:dyDescent="0.3">
      <c r="A284" s="381" t="s">
        <v>16</v>
      </c>
      <c r="B284" s="382" t="s">
        <v>17</v>
      </c>
      <c r="C284" s="632" t="str">
        <f>+template_label_number_of_employees</f>
        <v>Nombre de salariés</v>
      </c>
      <c r="D284" s="632"/>
      <c r="E284" s="58"/>
      <c r="F284" s="11" t="str">
        <f>IF(OR(
'Table of Contents &amp; Validation'!D13=TRUE, 'Table of Contents &amp; Validation'!D11=TRUE),
IF(AND(OR(E125 = "Option A (Basic Module only)", E125 = "Option B (Basic Module and Comprehensive Module)"), E284 = ""),
    "",
    IF(E125 = "", "", template_label_ok)),
IF(AND(OR(E125 = "Option A (Basic Module only)", E125 = "Option B (Basic Module and Comprehensive Module)"), E284 = ""),
    template_label_missing_value,
    IF(E125 = "", "", template_label_ok))
)</f>
        <v/>
      </c>
    </row>
    <row r="285" spans="1:6" ht="14.4" customHeight="1" x14ac:dyDescent="0.3">
      <c r="A285" s="381" t="s">
        <v>16</v>
      </c>
      <c r="B285" s="382" t="s">
        <v>17</v>
      </c>
      <c r="C285" s="633" t="str">
        <f>template_label_employee_counting_methodology_end_of_reporting_period_or_average_during_the_reporting_period</f>
        <v>Méthodologie de comptage des salariés (à la fin de la période de reporting, ou en moyenne pendant la période de reporting)</v>
      </c>
      <c r="D285" s="633"/>
      <c r="E285" s="58"/>
      <c r="F285" s="11" t="str">
        <f>IF(OR(
'Table of Contents &amp; Validation'!D13=TRUE, 'Table of Contents &amp; Validation'!D11=TRUE),
IF(AND(OR(E125 = "Option A (Basic Module only)", E125 = "Option B (Basic Module and Comprehensive Module)"), E285 = ""),
    "",
    IF(E125 = "", "", template_label_ok)),
IF(AND(OR(E125 = "Option A (Basic Module only)", E125 = "Option B (Basic Module and Comprehensive Module)"), E285 = ""),
    template_label_missing_value,
    IF(E125 = "", "", template_label_ok))
)</f>
        <v/>
      </c>
    </row>
    <row r="286" spans="1:6" ht="14.4" customHeight="1" x14ac:dyDescent="0.3">
      <c r="A286" s="381" t="s">
        <v>16</v>
      </c>
      <c r="B286" s="382" t="s">
        <v>17</v>
      </c>
      <c r="C286" s="632" t="str">
        <f>template_label_employee_counting_methodology_headcount_or_fulltime_equivalent</f>
        <v>Méthodologie de comptage des salariés (effectif ou équivalent temps plein)</v>
      </c>
      <c r="D286" s="632"/>
      <c r="E286" s="55"/>
      <c r="F286" s="11" t="str">
        <f>IF(OR(
'Table of Contents &amp; Validation'!D13=TRUE, 'Table of Contents &amp; Validation'!D11=TRUE),
IF(AND(OR(E125 = "Option A (Basic Module only)", E125 = "Option B (Basic Module and Comprehensive Module)"), E286 = ""),
    "",
    IF(E125 = "", "", template_label_ok)),
IF(AND(OR(E125 = "Option A (Basic Module only)", E125 = "Option B (Basic Module and Comprehensive Module)"), E286 = ""),
    template_label_missing_value,
    IF(E125 = "", "", template_label_ok))
)</f>
        <v/>
      </c>
    </row>
    <row r="287" spans="1:6" ht="14.4" customHeight="1" thickBot="1" x14ac:dyDescent="0.35">
      <c r="A287" s="381" t="s">
        <v>18</v>
      </c>
      <c r="B287" s="382" t="s">
        <v>19</v>
      </c>
      <c r="C287" s="644" t="str">
        <f>template_label_country_of_primary_operations_and_location_of_significant_asset</f>
        <v>Pays où sont exercées les activités principales et localisation d'un ou de plusieurs actifs présentant un intérêt significatif</v>
      </c>
      <c r="D287" s="644"/>
      <c r="E287" s="59"/>
      <c r="F287" s="11" t="str">
        <f>IF(OR(
'Table of Contents &amp; Validation'!D13=TRUE, 'Table of Contents &amp; Validation'!D11=TRUE),
IF(AND(OR(E125 = "Option A (Basic Module only)", E125 = "Option B (Basic Module and Comprehensive Module)"), E287 = ""),
    "",
    IF(E125 = "", "", template_label_ok)),
IF(AND(OR(E125 = "Option A (Basic Module only)", E125 = "Option B (Basic Module and Comprehensive Module)"), E287 = ""),
    template_label_missing_value,
    IF(E125 = "", "", template_label_ok))
)</f>
        <v/>
      </c>
    </row>
    <row r="288" spans="1:6" ht="15" thickBot="1" x14ac:dyDescent="0.35">
      <c r="B288" s="81"/>
    </row>
    <row r="289" spans="2:7" ht="14.4" customHeight="1" thickBot="1" x14ac:dyDescent="0.35">
      <c r="B289" s="81"/>
      <c r="C289" s="634" t="str">
        <f xml:space="preserve"> template_label_b1_list_of_subsidiaries &amp; " " &amp; template_label_from &amp; " " &amp; template_starting_date_display &amp; " " &amp; template_label_to &amp; " " &amp; template_ending_date_display &amp; " " &amp; template_label_if_applicable</f>
        <v>B1 - Liste des filiales du - au - [Le cas échéant]</v>
      </c>
      <c r="D289" s="634"/>
      <c r="E289" s="647"/>
    </row>
    <row r="290" spans="2:7" ht="14.4" customHeight="1" x14ac:dyDescent="0.3">
      <c r="B290" s="81"/>
      <c r="C290" s="636" t="s">
        <v>20</v>
      </c>
      <c r="D290" s="636"/>
      <c r="E290" s="637"/>
    </row>
    <row r="291" spans="2:7" ht="14.4" customHeight="1" x14ac:dyDescent="0.3">
      <c r="B291" s="81"/>
      <c r="C291" s="4" t="str">
        <f>template_label_id</f>
        <v>ID</v>
      </c>
      <c r="D291" s="1" t="str">
        <f>template_label_name</f>
        <v>Nom</v>
      </c>
      <c r="E291" s="384" t="str">
        <f>template_label_registered_address</f>
        <v>Adresse du siège social</v>
      </c>
    </row>
    <row r="292" spans="2:7" ht="14.4" customHeight="1" x14ac:dyDescent="0.3">
      <c r="B292" s="81"/>
      <c r="C292" s="199">
        <v>1</v>
      </c>
      <c r="D292" s="349"/>
      <c r="E292" s="64"/>
      <c r="F292" s="11" t="str">
        <f>IF(OR(
'Table of Contents &amp; Validation'!D14=TRUE,'Table of Contents &amp; Validation'!D11=TRUE),
IF(AND(BasisForReporting="Sustainability report prepared on a consolidated basis",D292&lt;&gt;"",E292=""),"",
IF(AND(BasisForReporting="Sustainability report prepared on a consolidated basis",D292&lt;&gt;"",E292&lt;&gt;""),template_label_ok,
IF(AND(BasisForReporting="Sustainability report prepared on a consolidated basis",D292="",E292=""),"",""))),
IF(AND(BasisForReporting="Sustainability report prepared on a consolidated basis",D292&lt;&gt;"",E292=""),template_label_missing_value,
IF(AND(BasisForReporting="Sustainability report prepared on a consolidated basis",D292&lt;&gt;"",E292&lt;&gt;""),template_label_ok,
IF(AND(BasisForReporting="Sustainability report prepared on a consolidated basis",D292="",E292=""),template_label_missing_value,""))))</f>
        <v/>
      </c>
      <c r="G292" t="str">
        <f>template_label_additional_rows_warning</f>
        <v>ℹ️Les listes peuvent être déroulées à l’aide du bouton plus [+] situé à gauche. Si le nombre de lignes n’est pas suffisant, des lignes supplémentaires peuvent être ajoutées en cliquant avec le bouton droit sur la deuxième ligne et en sélectionnant « Insérer une ligne ».</v>
      </c>
    </row>
    <row r="293" spans="2:7" ht="14.4" customHeight="1" x14ac:dyDescent="0.3">
      <c r="B293" s="81"/>
      <c r="C293" s="199">
        <v>2</v>
      </c>
      <c r="D293" s="349"/>
      <c r="E293" s="64"/>
      <c r="F293" s="11" t="str">
        <f t="shared" ref="F293:F391" si="5">IF(AND(D293&lt;&gt;"",E293=""), template_label_missing_value,
IF(AND(D293&lt;&gt;"",E293&lt;&gt;""), template_label_ok,
IF(AND(D293="",E293=""), "", template_label_missing_value)))</f>
        <v/>
      </c>
    </row>
    <row r="294" spans="2:7" ht="14.4" customHeight="1" thickBot="1" x14ac:dyDescent="0.35">
      <c r="C294" s="201">
        <v>3</v>
      </c>
      <c r="D294" s="385"/>
      <c r="E294" s="60"/>
      <c r="F294" s="11" t="str">
        <f t="shared" si="5"/>
        <v/>
      </c>
    </row>
    <row r="295" spans="2:7" ht="14.4" hidden="1" customHeight="1" outlineLevel="1" thickBot="1" x14ac:dyDescent="0.35">
      <c r="C295" s="200">
        <v>4</v>
      </c>
      <c r="D295" s="61"/>
      <c r="E295" s="62"/>
      <c r="F295" s="80" t="str">
        <f t="shared" si="5"/>
        <v/>
      </c>
    </row>
    <row r="296" spans="2:7" ht="14.4" hidden="1" customHeight="1" outlineLevel="1" thickBot="1" x14ac:dyDescent="0.35">
      <c r="C296" s="200">
        <v>5</v>
      </c>
      <c r="D296" s="63"/>
      <c r="E296" s="64"/>
      <c r="F296" s="80" t="str">
        <f t="shared" si="5"/>
        <v/>
      </c>
    </row>
    <row r="297" spans="2:7" ht="14.4" hidden="1" customHeight="1" outlineLevel="1" thickBot="1" x14ac:dyDescent="0.35">
      <c r="C297" s="199">
        <v>6</v>
      </c>
      <c r="D297" s="63"/>
      <c r="E297" s="64"/>
      <c r="F297" s="80" t="str">
        <f t="shared" si="5"/>
        <v/>
      </c>
    </row>
    <row r="298" spans="2:7" ht="14.4" hidden="1" customHeight="1" outlineLevel="1" thickBot="1" x14ac:dyDescent="0.35">
      <c r="C298" s="199">
        <v>7</v>
      </c>
      <c r="D298" s="63"/>
      <c r="E298" s="64"/>
      <c r="F298" s="80" t="str">
        <f t="shared" si="5"/>
        <v/>
      </c>
    </row>
    <row r="299" spans="2:7" ht="14.4" hidden="1" customHeight="1" outlineLevel="1" thickBot="1" x14ac:dyDescent="0.35">
      <c r="C299" s="200">
        <v>8</v>
      </c>
      <c r="D299" s="63"/>
      <c r="E299" s="64"/>
      <c r="F299" s="80" t="str">
        <f t="shared" si="5"/>
        <v/>
      </c>
    </row>
    <row r="300" spans="2:7" ht="14.4" hidden="1" customHeight="1" outlineLevel="1" thickBot="1" x14ac:dyDescent="0.35">
      <c r="C300" s="199">
        <v>9</v>
      </c>
      <c r="D300" s="63"/>
      <c r="E300" s="64"/>
      <c r="F300" s="80" t="str">
        <f t="shared" si="5"/>
        <v/>
      </c>
    </row>
    <row r="301" spans="2:7" ht="14.4" hidden="1" customHeight="1" outlineLevel="1" thickBot="1" x14ac:dyDescent="0.35">
      <c r="C301" s="199">
        <v>10</v>
      </c>
      <c r="D301" s="63"/>
      <c r="E301" s="64"/>
      <c r="F301" s="80" t="str">
        <f t="shared" si="5"/>
        <v/>
      </c>
    </row>
    <row r="302" spans="2:7" ht="14.4" hidden="1" customHeight="1" outlineLevel="1" thickBot="1" x14ac:dyDescent="0.35">
      <c r="C302" s="200">
        <v>11</v>
      </c>
      <c r="D302" s="63"/>
      <c r="E302" s="64"/>
      <c r="F302" s="80" t="str">
        <f t="shared" si="5"/>
        <v/>
      </c>
    </row>
    <row r="303" spans="2:7" ht="14.4" hidden="1" customHeight="1" outlineLevel="1" thickBot="1" x14ac:dyDescent="0.35">
      <c r="C303" s="199">
        <v>12</v>
      </c>
      <c r="D303" s="63"/>
      <c r="E303" s="64"/>
      <c r="F303" s="80" t="str">
        <f t="shared" si="5"/>
        <v/>
      </c>
    </row>
    <row r="304" spans="2:7" ht="14.4" hidden="1" customHeight="1" outlineLevel="1" thickBot="1" x14ac:dyDescent="0.35">
      <c r="C304" s="199">
        <v>13</v>
      </c>
      <c r="D304" s="63"/>
      <c r="E304" s="64"/>
      <c r="F304" s="80" t="str">
        <f t="shared" si="5"/>
        <v/>
      </c>
    </row>
    <row r="305" spans="3:6" ht="14.4" hidden="1" customHeight="1" outlineLevel="1" thickBot="1" x14ac:dyDescent="0.35">
      <c r="C305" s="200">
        <v>14</v>
      </c>
      <c r="D305" s="63"/>
      <c r="E305" s="64"/>
      <c r="F305" s="80" t="str">
        <f t="shared" si="5"/>
        <v/>
      </c>
    </row>
    <row r="306" spans="3:6" ht="14.4" hidden="1" customHeight="1" outlineLevel="1" thickBot="1" x14ac:dyDescent="0.35">
      <c r="C306" s="199">
        <v>15</v>
      </c>
      <c r="D306" s="63"/>
      <c r="E306" s="64"/>
      <c r="F306" s="80" t="str">
        <f t="shared" si="5"/>
        <v/>
      </c>
    </row>
    <row r="307" spans="3:6" ht="14.4" hidden="1" customHeight="1" outlineLevel="1" thickBot="1" x14ac:dyDescent="0.35">
      <c r="C307" s="199">
        <v>16</v>
      </c>
      <c r="D307" s="63"/>
      <c r="E307" s="64"/>
      <c r="F307" s="80" t="str">
        <f t="shared" si="5"/>
        <v/>
      </c>
    </row>
    <row r="308" spans="3:6" ht="14.4" hidden="1" customHeight="1" outlineLevel="1" thickBot="1" x14ac:dyDescent="0.35">
      <c r="C308" s="200">
        <v>17</v>
      </c>
      <c r="D308" s="63"/>
      <c r="E308" s="64"/>
      <c r="F308" s="80" t="str">
        <f t="shared" si="5"/>
        <v/>
      </c>
    </row>
    <row r="309" spans="3:6" ht="14.4" hidden="1" customHeight="1" outlineLevel="1" thickBot="1" x14ac:dyDescent="0.35">
      <c r="C309" s="199">
        <v>18</v>
      </c>
      <c r="D309" s="63"/>
      <c r="E309" s="64"/>
      <c r="F309" s="80" t="str">
        <f t="shared" si="5"/>
        <v/>
      </c>
    </row>
    <row r="310" spans="3:6" ht="14.4" hidden="1" customHeight="1" outlineLevel="1" thickBot="1" x14ac:dyDescent="0.35">
      <c r="C310" s="199">
        <v>19</v>
      </c>
      <c r="D310" s="63"/>
      <c r="E310" s="64"/>
      <c r="F310" s="80" t="str">
        <f t="shared" si="5"/>
        <v/>
      </c>
    </row>
    <row r="311" spans="3:6" ht="14.4" hidden="1" customHeight="1" outlineLevel="1" thickBot="1" x14ac:dyDescent="0.35">
      <c r="C311" s="200">
        <v>20</v>
      </c>
      <c r="D311" s="63"/>
      <c r="E311" s="64"/>
      <c r="F311" s="80" t="str">
        <f t="shared" si="5"/>
        <v/>
      </c>
    </row>
    <row r="312" spans="3:6" ht="14.4" hidden="1" customHeight="1" outlineLevel="1" thickBot="1" x14ac:dyDescent="0.35">
      <c r="C312" s="199">
        <v>21</v>
      </c>
      <c r="D312" s="63"/>
      <c r="E312" s="64"/>
      <c r="F312" s="80" t="str">
        <f t="shared" si="5"/>
        <v/>
      </c>
    </row>
    <row r="313" spans="3:6" ht="14.4" hidden="1" customHeight="1" outlineLevel="1" thickBot="1" x14ac:dyDescent="0.35">
      <c r="C313" s="199">
        <v>22</v>
      </c>
      <c r="D313" s="63"/>
      <c r="E313" s="64"/>
      <c r="F313" s="80" t="str">
        <f t="shared" si="5"/>
        <v/>
      </c>
    </row>
    <row r="314" spans="3:6" ht="14.4" hidden="1" customHeight="1" outlineLevel="1" thickBot="1" x14ac:dyDescent="0.35">
      <c r="C314" s="200">
        <v>23</v>
      </c>
      <c r="D314" s="63"/>
      <c r="E314" s="64"/>
      <c r="F314" s="80" t="str">
        <f t="shared" si="5"/>
        <v/>
      </c>
    </row>
    <row r="315" spans="3:6" ht="14.4" hidden="1" customHeight="1" outlineLevel="1" thickBot="1" x14ac:dyDescent="0.35">
      <c r="C315" s="199">
        <v>24</v>
      </c>
      <c r="D315" s="63"/>
      <c r="E315" s="64"/>
      <c r="F315" s="80" t="str">
        <f t="shared" si="5"/>
        <v/>
      </c>
    </row>
    <row r="316" spans="3:6" ht="14.4" hidden="1" customHeight="1" outlineLevel="1" thickBot="1" x14ac:dyDescent="0.35">
      <c r="C316" s="199">
        <v>25</v>
      </c>
      <c r="D316" s="63"/>
      <c r="E316" s="64"/>
      <c r="F316" s="80" t="str">
        <f t="shared" si="5"/>
        <v/>
      </c>
    </row>
    <row r="317" spans="3:6" ht="14.4" hidden="1" customHeight="1" outlineLevel="1" thickBot="1" x14ac:dyDescent="0.35">
      <c r="C317" s="200">
        <v>26</v>
      </c>
      <c r="D317" s="63"/>
      <c r="E317" s="64"/>
      <c r="F317" s="80" t="str">
        <f t="shared" si="5"/>
        <v/>
      </c>
    </row>
    <row r="318" spans="3:6" ht="14.4" hidden="1" customHeight="1" outlineLevel="1" thickBot="1" x14ac:dyDescent="0.35">
      <c r="C318" s="199">
        <v>27</v>
      </c>
      <c r="D318" s="63"/>
      <c r="E318" s="64"/>
      <c r="F318" s="80" t="str">
        <f t="shared" si="5"/>
        <v/>
      </c>
    </row>
    <row r="319" spans="3:6" ht="14.4" hidden="1" customHeight="1" outlineLevel="1" thickBot="1" x14ac:dyDescent="0.35">
      <c r="C319" s="199">
        <v>28</v>
      </c>
      <c r="D319" s="63"/>
      <c r="E319" s="64"/>
      <c r="F319" s="80" t="str">
        <f t="shared" si="5"/>
        <v/>
      </c>
    </row>
    <row r="320" spans="3:6" ht="14.4" hidden="1" customHeight="1" outlineLevel="1" thickBot="1" x14ac:dyDescent="0.35">
      <c r="C320" s="200">
        <v>29</v>
      </c>
      <c r="D320" s="63"/>
      <c r="E320" s="64"/>
      <c r="F320" s="80" t="str">
        <f t="shared" si="5"/>
        <v/>
      </c>
    </row>
    <row r="321" spans="3:6" ht="14.4" hidden="1" customHeight="1" outlineLevel="1" thickBot="1" x14ac:dyDescent="0.35">
      <c r="C321" s="199">
        <v>30</v>
      </c>
      <c r="D321" s="63"/>
      <c r="E321" s="64"/>
      <c r="F321" s="80" t="str">
        <f t="shared" si="5"/>
        <v/>
      </c>
    </row>
    <row r="322" spans="3:6" ht="14.4" hidden="1" customHeight="1" outlineLevel="1" thickBot="1" x14ac:dyDescent="0.35">
      <c r="C322" s="199">
        <v>31</v>
      </c>
      <c r="D322" s="63"/>
      <c r="E322" s="64"/>
      <c r="F322" s="80" t="str">
        <f t="shared" si="5"/>
        <v/>
      </c>
    </row>
    <row r="323" spans="3:6" ht="14.4" hidden="1" customHeight="1" outlineLevel="1" thickBot="1" x14ac:dyDescent="0.35">
      <c r="C323" s="200">
        <v>32</v>
      </c>
      <c r="D323" s="63"/>
      <c r="E323" s="64"/>
      <c r="F323" s="80" t="str">
        <f t="shared" si="5"/>
        <v/>
      </c>
    </row>
    <row r="324" spans="3:6" ht="14.4" hidden="1" customHeight="1" outlineLevel="1" thickBot="1" x14ac:dyDescent="0.35">
      <c r="C324" s="199">
        <v>33</v>
      </c>
      <c r="D324" s="63"/>
      <c r="E324" s="64"/>
      <c r="F324" s="80" t="str">
        <f t="shared" si="5"/>
        <v/>
      </c>
    </row>
    <row r="325" spans="3:6" ht="14.4" hidden="1" customHeight="1" outlineLevel="1" thickBot="1" x14ac:dyDescent="0.35">
      <c r="C325" s="199">
        <v>34</v>
      </c>
      <c r="D325" s="63"/>
      <c r="E325" s="64"/>
      <c r="F325" s="80" t="str">
        <f t="shared" si="5"/>
        <v/>
      </c>
    </row>
    <row r="326" spans="3:6" ht="14.4" hidden="1" customHeight="1" outlineLevel="1" thickBot="1" x14ac:dyDescent="0.35">
      <c r="C326" s="200">
        <v>35</v>
      </c>
      <c r="D326" s="63"/>
      <c r="E326" s="64"/>
      <c r="F326" s="80" t="str">
        <f t="shared" si="5"/>
        <v/>
      </c>
    </row>
    <row r="327" spans="3:6" ht="14.4" hidden="1" customHeight="1" outlineLevel="1" thickBot="1" x14ac:dyDescent="0.35">
      <c r="C327" s="199">
        <v>36</v>
      </c>
      <c r="D327" s="63"/>
      <c r="E327" s="64"/>
      <c r="F327" s="80" t="str">
        <f t="shared" si="5"/>
        <v/>
      </c>
    </row>
    <row r="328" spans="3:6" ht="14.4" hidden="1" customHeight="1" outlineLevel="1" thickBot="1" x14ac:dyDescent="0.35">
      <c r="C328" s="199">
        <v>37</v>
      </c>
      <c r="D328" s="63"/>
      <c r="E328" s="64"/>
      <c r="F328" s="80" t="str">
        <f t="shared" si="5"/>
        <v/>
      </c>
    </row>
    <row r="329" spans="3:6" ht="14.4" hidden="1" customHeight="1" outlineLevel="1" thickBot="1" x14ac:dyDescent="0.35">
      <c r="C329" s="200">
        <v>38</v>
      </c>
      <c r="D329" s="63"/>
      <c r="E329" s="64"/>
      <c r="F329" s="80" t="str">
        <f t="shared" si="5"/>
        <v/>
      </c>
    </row>
    <row r="330" spans="3:6" ht="14.4" hidden="1" customHeight="1" outlineLevel="1" thickBot="1" x14ac:dyDescent="0.35">
      <c r="C330" s="199">
        <v>39</v>
      </c>
      <c r="D330" s="63"/>
      <c r="E330" s="64"/>
      <c r="F330" s="80" t="str">
        <f t="shared" si="5"/>
        <v/>
      </c>
    </row>
    <row r="331" spans="3:6" ht="14.4" hidden="1" customHeight="1" outlineLevel="1" thickBot="1" x14ac:dyDescent="0.35">
      <c r="C331" s="199">
        <v>40</v>
      </c>
      <c r="D331" s="63"/>
      <c r="E331" s="64"/>
      <c r="F331" s="80" t="str">
        <f t="shared" si="5"/>
        <v/>
      </c>
    </row>
    <row r="332" spans="3:6" ht="14.4" hidden="1" customHeight="1" outlineLevel="1" thickBot="1" x14ac:dyDescent="0.35">
      <c r="C332" s="200">
        <v>41</v>
      </c>
      <c r="D332" s="63"/>
      <c r="E332" s="64"/>
      <c r="F332" s="80" t="str">
        <f t="shared" si="5"/>
        <v/>
      </c>
    </row>
    <row r="333" spans="3:6" ht="14.4" hidden="1" customHeight="1" outlineLevel="1" thickBot="1" x14ac:dyDescent="0.35">
      <c r="C333" s="199">
        <v>42</v>
      </c>
      <c r="D333" s="63"/>
      <c r="E333" s="64"/>
      <c r="F333" s="80" t="str">
        <f t="shared" si="5"/>
        <v/>
      </c>
    </row>
    <row r="334" spans="3:6" ht="14.4" hidden="1" customHeight="1" outlineLevel="1" thickBot="1" x14ac:dyDescent="0.35">
      <c r="C334" s="199">
        <v>43</v>
      </c>
      <c r="D334" s="63"/>
      <c r="E334" s="64"/>
      <c r="F334" s="80" t="str">
        <f t="shared" si="5"/>
        <v/>
      </c>
    </row>
    <row r="335" spans="3:6" ht="14.4" hidden="1" customHeight="1" outlineLevel="1" thickBot="1" x14ac:dyDescent="0.35">
      <c r="C335" s="200">
        <v>44</v>
      </c>
      <c r="D335" s="63"/>
      <c r="E335" s="64"/>
      <c r="F335" s="80" t="str">
        <f t="shared" si="5"/>
        <v/>
      </c>
    </row>
    <row r="336" spans="3:6" ht="14.4" hidden="1" customHeight="1" outlineLevel="1" thickBot="1" x14ac:dyDescent="0.35">
      <c r="C336" s="199">
        <v>45</v>
      </c>
      <c r="D336" s="63"/>
      <c r="E336" s="64"/>
      <c r="F336" s="80" t="str">
        <f t="shared" si="5"/>
        <v/>
      </c>
    </row>
    <row r="337" spans="3:6" ht="14.4" hidden="1" customHeight="1" outlineLevel="1" thickBot="1" x14ac:dyDescent="0.35">
      <c r="C337" s="199">
        <v>46</v>
      </c>
      <c r="D337" s="63"/>
      <c r="E337" s="64"/>
      <c r="F337" s="80" t="str">
        <f t="shared" si="5"/>
        <v/>
      </c>
    </row>
    <row r="338" spans="3:6" ht="14.4" hidden="1" customHeight="1" outlineLevel="1" thickBot="1" x14ac:dyDescent="0.35">
      <c r="C338" s="200">
        <v>47</v>
      </c>
      <c r="D338" s="63"/>
      <c r="E338" s="64"/>
      <c r="F338" s="80" t="str">
        <f t="shared" si="5"/>
        <v/>
      </c>
    </row>
    <row r="339" spans="3:6" ht="14.4" hidden="1" customHeight="1" outlineLevel="1" thickBot="1" x14ac:dyDescent="0.35">
      <c r="C339" s="199">
        <v>48</v>
      </c>
      <c r="D339" s="63"/>
      <c r="E339" s="64"/>
      <c r="F339" s="80" t="str">
        <f t="shared" si="5"/>
        <v/>
      </c>
    </row>
    <row r="340" spans="3:6" ht="14.4" hidden="1" customHeight="1" outlineLevel="1" thickBot="1" x14ac:dyDescent="0.35">
      <c r="C340" s="199">
        <v>49</v>
      </c>
      <c r="D340" s="63"/>
      <c r="E340" s="64"/>
      <c r="F340" s="80" t="str">
        <f t="shared" si="5"/>
        <v/>
      </c>
    </row>
    <row r="341" spans="3:6" ht="14.4" hidden="1" customHeight="1" outlineLevel="1" thickBot="1" x14ac:dyDescent="0.35">
      <c r="C341" s="200">
        <v>50</v>
      </c>
      <c r="D341" s="63"/>
      <c r="E341" s="64"/>
      <c r="F341" s="80" t="str">
        <f t="shared" si="5"/>
        <v/>
      </c>
    </row>
    <row r="342" spans="3:6" ht="14.4" hidden="1" customHeight="1" outlineLevel="1" thickBot="1" x14ac:dyDescent="0.35">
      <c r="C342" s="199">
        <v>51</v>
      </c>
      <c r="D342" s="63"/>
      <c r="E342" s="64"/>
      <c r="F342" s="80" t="str">
        <f t="shared" si="5"/>
        <v/>
      </c>
    </row>
    <row r="343" spans="3:6" ht="14.4" hidden="1" customHeight="1" outlineLevel="1" thickBot="1" x14ac:dyDescent="0.35">
      <c r="C343" s="199">
        <v>52</v>
      </c>
      <c r="D343" s="63"/>
      <c r="E343" s="64"/>
      <c r="F343" s="80" t="str">
        <f t="shared" si="5"/>
        <v/>
      </c>
    </row>
    <row r="344" spans="3:6" ht="14.4" hidden="1" customHeight="1" outlineLevel="1" thickBot="1" x14ac:dyDescent="0.35">
      <c r="C344" s="200">
        <v>53</v>
      </c>
      <c r="D344" s="63"/>
      <c r="E344" s="64"/>
      <c r="F344" s="80" t="str">
        <f t="shared" si="5"/>
        <v/>
      </c>
    </row>
    <row r="345" spans="3:6" ht="14.4" hidden="1" customHeight="1" outlineLevel="1" thickBot="1" x14ac:dyDescent="0.35">
      <c r="C345" s="199">
        <v>54</v>
      </c>
      <c r="D345" s="63"/>
      <c r="E345" s="64"/>
      <c r="F345" s="80" t="str">
        <f t="shared" si="5"/>
        <v/>
      </c>
    </row>
    <row r="346" spans="3:6" ht="14.4" hidden="1" customHeight="1" outlineLevel="1" thickBot="1" x14ac:dyDescent="0.35">
      <c r="C346" s="199">
        <v>55</v>
      </c>
      <c r="D346" s="63"/>
      <c r="E346" s="64"/>
      <c r="F346" s="80" t="str">
        <f t="shared" si="5"/>
        <v/>
      </c>
    </row>
    <row r="347" spans="3:6" ht="14.4" hidden="1" customHeight="1" outlineLevel="1" thickBot="1" x14ac:dyDescent="0.35">
      <c r="C347" s="200">
        <v>56</v>
      </c>
      <c r="D347" s="63"/>
      <c r="E347" s="64"/>
      <c r="F347" s="80" t="str">
        <f t="shared" si="5"/>
        <v/>
      </c>
    </row>
    <row r="348" spans="3:6" ht="14.4" hidden="1" customHeight="1" outlineLevel="1" thickBot="1" x14ac:dyDescent="0.35">
      <c r="C348" s="199">
        <v>57</v>
      </c>
      <c r="D348" s="63"/>
      <c r="E348" s="64"/>
      <c r="F348" s="80" t="str">
        <f t="shared" si="5"/>
        <v/>
      </c>
    </row>
    <row r="349" spans="3:6" ht="14.4" hidden="1" customHeight="1" outlineLevel="1" thickBot="1" x14ac:dyDescent="0.35">
      <c r="C349" s="199">
        <v>58</v>
      </c>
      <c r="D349" s="63"/>
      <c r="E349" s="64"/>
      <c r="F349" s="80" t="str">
        <f t="shared" si="5"/>
        <v/>
      </c>
    </row>
    <row r="350" spans="3:6" ht="14.4" hidden="1" customHeight="1" outlineLevel="1" thickBot="1" x14ac:dyDescent="0.35">
      <c r="C350" s="200">
        <v>59</v>
      </c>
      <c r="D350" s="63"/>
      <c r="E350" s="64"/>
      <c r="F350" s="80" t="str">
        <f t="shared" si="5"/>
        <v/>
      </c>
    </row>
    <row r="351" spans="3:6" ht="14.4" hidden="1" customHeight="1" outlineLevel="1" thickBot="1" x14ac:dyDescent="0.35">
      <c r="C351" s="199">
        <v>60</v>
      </c>
      <c r="D351" s="63"/>
      <c r="E351" s="64"/>
      <c r="F351" s="80" t="str">
        <f t="shared" si="5"/>
        <v/>
      </c>
    </row>
    <row r="352" spans="3:6" ht="14.4" hidden="1" customHeight="1" outlineLevel="1" thickBot="1" x14ac:dyDescent="0.35">
      <c r="C352" s="199">
        <v>61</v>
      </c>
      <c r="D352" s="63"/>
      <c r="E352" s="64"/>
      <c r="F352" s="80" t="str">
        <f t="shared" si="5"/>
        <v/>
      </c>
    </row>
    <row r="353" spans="3:6" ht="14.4" hidden="1" customHeight="1" outlineLevel="1" thickBot="1" x14ac:dyDescent="0.35">
      <c r="C353" s="200">
        <v>62</v>
      </c>
      <c r="D353" s="63"/>
      <c r="E353" s="64"/>
      <c r="F353" s="80" t="str">
        <f t="shared" si="5"/>
        <v/>
      </c>
    </row>
    <row r="354" spans="3:6" ht="14.4" hidden="1" customHeight="1" outlineLevel="1" thickBot="1" x14ac:dyDescent="0.35">
      <c r="C354" s="199">
        <v>63</v>
      </c>
      <c r="D354" s="63"/>
      <c r="E354" s="64"/>
      <c r="F354" s="80" t="str">
        <f t="shared" si="5"/>
        <v/>
      </c>
    </row>
    <row r="355" spans="3:6" ht="14.4" hidden="1" customHeight="1" outlineLevel="1" thickBot="1" x14ac:dyDescent="0.35">
      <c r="C355" s="199">
        <v>64</v>
      </c>
      <c r="D355" s="63"/>
      <c r="E355" s="64"/>
      <c r="F355" s="80" t="str">
        <f t="shared" si="5"/>
        <v/>
      </c>
    </row>
    <row r="356" spans="3:6" ht="14.4" hidden="1" customHeight="1" outlineLevel="1" thickBot="1" x14ac:dyDescent="0.35">
      <c r="C356" s="200">
        <v>65</v>
      </c>
      <c r="D356" s="63"/>
      <c r="E356" s="64"/>
      <c r="F356" s="80" t="str">
        <f t="shared" si="5"/>
        <v/>
      </c>
    </row>
    <row r="357" spans="3:6" ht="14.4" hidden="1" customHeight="1" outlineLevel="1" thickBot="1" x14ac:dyDescent="0.35">
      <c r="C357" s="199">
        <v>66</v>
      </c>
      <c r="D357" s="63"/>
      <c r="E357" s="64"/>
      <c r="F357" s="80" t="str">
        <f t="shared" si="5"/>
        <v/>
      </c>
    </row>
    <row r="358" spans="3:6" ht="14.4" hidden="1" customHeight="1" outlineLevel="1" thickBot="1" x14ac:dyDescent="0.35">
      <c r="C358" s="199">
        <v>67</v>
      </c>
      <c r="D358" s="63"/>
      <c r="E358" s="64"/>
      <c r="F358" s="80" t="str">
        <f t="shared" si="5"/>
        <v/>
      </c>
    </row>
    <row r="359" spans="3:6" ht="14.4" hidden="1" customHeight="1" outlineLevel="1" thickBot="1" x14ac:dyDescent="0.35">
      <c r="C359" s="200">
        <v>68</v>
      </c>
      <c r="D359" s="63"/>
      <c r="E359" s="64"/>
      <c r="F359" s="80" t="str">
        <f t="shared" si="5"/>
        <v/>
      </c>
    </row>
    <row r="360" spans="3:6" ht="14.4" hidden="1" customHeight="1" outlineLevel="1" thickBot="1" x14ac:dyDescent="0.35">
      <c r="C360" s="199">
        <v>69</v>
      </c>
      <c r="D360" s="63"/>
      <c r="E360" s="64"/>
      <c r="F360" s="80" t="str">
        <f t="shared" si="5"/>
        <v/>
      </c>
    </row>
    <row r="361" spans="3:6" ht="14.4" hidden="1" customHeight="1" outlineLevel="1" thickBot="1" x14ac:dyDescent="0.35">
      <c r="C361" s="199">
        <v>70</v>
      </c>
      <c r="D361" s="63"/>
      <c r="E361" s="64"/>
      <c r="F361" s="80" t="str">
        <f t="shared" si="5"/>
        <v/>
      </c>
    </row>
    <row r="362" spans="3:6" ht="14.4" hidden="1" customHeight="1" outlineLevel="1" thickBot="1" x14ac:dyDescent="0.35">
      <c r="C362" s="200">
        <v>71</v>
      </c>
      <c r="D362" s="63"/>
      <c r="E362" s="64"/>
      <c r="F362" s="80" t="str">
        <f t="shared" si="5"/>
        <v/>
      </c>
    </row>
    <row r="363" spans="3:6" ht="14.4" hidden="1" customHeight="1" outlineLevel="1" thickBot="1" x14ac:dyDescent="0.35">
      <c r="C363" s="199">
        <v>72</v>
      </c>
      <c r="D363" s="63"/>
      <c r="E363" s="64"/>
      <c r="F363" s="80" t="str">
        <f t="shared" si="5"/>
        <v/>
      </c>
    </row>
    <row r="364" spans="3:6" ht="14.4" hidden="1" customHeight="1" outlineLevel="1" thickBot="1" x14ac:dyDescent="0.35">
      <c r="C364" s="199">
        <v>73</v>
      </c>
      <c r="D364" s="63"/>
      <c r="E364" s="64"/>
      <c r="F364" s="80" t="str">
        <f t="shared" si="5"/>
        <v/>
      </c>
    </row>
    <row r="365" spans="3:6" ht="14.4" hidden="1" customHeight="1" outlineLevel="1" thickBot="1" x14ac:dyDescent="0.35">
      <c r="C365" s="200">
        <v>74</v>
      </c>
      <c r="D365" s="63"/>
      <c r="E365" s="64"/>
      <c r="F365" s="80" t="str">
        <f t="shared" si="5"/>
        <v/>
      </c>
    </row>
    <row r="366" spans="3:6" ht="14.4" hidden="1" customHeight="1" outlineLevel="1" thickBot="1" x14ac:dyDescent="0.35">
      <c r="C366" s="199">
        <v>75</v>
      </c>
      <c r="D366" s="63"/>
      <c r="E366" s="64"/>
      <c r="F366" s="80" t="str">
        <f t="shared" si="5"/>
        <v/>
      </c>
    </row>
    <row r="367" spans="3:6" ht="14.4" hidden="1" customHeight="1" outlineLevel="1" thickBot="1" x14ac:dyDescent="0.35">
      <c r="C367" s="199">
        <v>76</v>
      </c>
      <c r="D367" s="63"/>
      <c r="E367" s="64"/>
      <c r="F367" s="80" t="str">
        <f t="shared" si="5"/>
        <v/>
      </c>
    </row>
    <row r="368" spans="3:6" ht="14.4" hidden="1" customHeight="1" outlineLevel="1" thickBot="1" x14ac:dyDescent="0.35">
      <c r="C368" s="200">
        <v>77</v>
      </c>
      <c r="D368" s="63"/>
      <c r="E368" s="64"/>
      <c r="F368" s="80" t="str">
        <f t="shared" si="5"/>
        <v/>
      </c>
    </row>
    <row r="369" spans="3:6" ht="14.4" hidden="1" customHeight="1" outlineLevel="1" thickBot="1" x14ac:dyDescent="0.35">
      <c r="C369" s="199">
        <v>78</v>
      </c>
      <c r="D369" s="63"/>
      <c r="E369" s="64"/>
      <c r="F369" s="80" t="str">
        <f t="shared" si="5"/>
        <v/>
      </c>
    </row>
    <row r="370" spans="3:6" ht="14.4" hidden="1" customHeight="1" outlineLevel="1" thickBot="1" x14ac:dyDescent="0.35">
      <c r="C370" s="199">
        <v>79</v>
      </c>
      <c r="D370" s="63"/>
      <c r="E370" s="64"/>
      <c r="F370" s="80" t="str">
        <f t="shared" si="5"/>
        <v/>
      </c>
    </row>
    <row r="371" spans="3:6" ht="14.4" hidden="1" customHeight="1" outlineLevel="1" thickBot="1" x14ac:dyDescent="0.35">
      <c r="C371" s="200">
        <v>80</v>
      </c>
      <c r="D371" s="63"/>
      <c r="E371" s="64"/>
      <c r="F371" s="80" t="str">
        <f t="shared" si="5"/>
        <v/>
      </c>
    </row>
    <row r="372" spans="3:6" ht="14.4" hidden="1" customHeight="1" outlineLevel="1" thickBot="1" x14ac:dyDescent="0.35">
      <c r="C372" s="199">
        <v>81</v>
      </c>
      <c r="D372" s="63"/>
      <c r="E372" s="64"/>
      <c r="F372" s="80" t="str">
        <f t="shared" si="5"/>
        <v/>
      </c>
    </row>
    <row r="373" spans="3:6" ht="14.4" hidden="1" customHeight="1" outlineLevel="1" thickBot="1" x14ac:dyDescent="0.35">
      <c r="C373" s="199">
        <v>82</v>
      </c>
      <c r="D373" s="63"/>
      <c r="E373" s="64"/>
      <c r="F373" s="80" t="str">
        <f t="shared" si="5"/>
        <v/>
      </c>
    </row>
    <row r="374" spans="3:6" ht="14.4" hidden="1" customHeight="1" outlineLevel="1" thickBot="1" x14ac:dyDescent="0.35">
      <c r="C374" s="200">
        <v>83</v>
      </c>
      <c r="D374" s="63"/>
      <c r="E374" s="64"/>
      <c r="F374" s="80" t="str">
        <f t="shared" si="5"/>
        <v/>
      </c>
    </row>
    <row r="375" spans="3:6" ht="14.4" hidden="1" customHeight="1" outlineLevel="1" thickBot="1" x14ac:dyDescent="0.35">
      <c r="C375" s="199">
        <v>84</v>
      </c>
      <c r="D375" s="63"/>
      <c r="E375" s="64"/>
      <c r="F375" s="80" t="str">
        <f t="shared" si="5"/>
        <v/>
      </c>
    </row>
    <row r="376" spans="3:6" ht="14.4" hidden="1" customHeight="1" outlineLevel="1" thickBot="1" x14ac:dyDescent="0.35">
      <c r="C376" s="199">
        <v>85</v>
      </c>
      <c r="D376" s="63"/>
      <c r="E376" s="64"/>
      <c r="F376" s="80" t="str">
        <f t="shared" si="5"/>
        <v/>
      </c>
    </row>
    <row r="377" spans="3:6" ht="14.4" hidden="1" customHeight="1" outlineLevel="1" thickBot="1" x14ac:dyDescent="0.35">
      <c r="C377" s="200">
        <v>86</v>
      </c>
      <c r="D377" s="63"/>
      <c r="E377" s="64"/>
      <c r="F377" s="80" t="str">
        <f t="shared" si="5"/>
        <v/>
      </c>
    </row>
    <row r="378" spans="3:6" ht="14.4" hidden="1" customHeight="1" outlineLevel="1" thickBot="1" x14ac:dyDescent="0.35">
      <c r="C378" s="199">
        <v>87</v>
      </c>
      <c r="D378" s="63"/>
      <c r="E378" s="64"/>
      <c r="F378" s="80" t="str">
        <f>IF(AND(D378&lt;&gt;"",E378=""), template_label_missing_value,
IF(AND(D378&lt;&gt;"",E378&lt;&gt;""), template_label_ok,
IF(AND(D378="",E378=""), "", template_label_missing_value)))</f>
        <v/>
      </c>
    </row>
    <row r="379" spans="3:6" ht="14.4" hidden="1" customHeight="1" outlineLevel="1" thickBot="1" x14ac:dyDescent="0.35">
      <c r="C379" s="199">
        <v>88</v>
      </c>
      <c r="D379" s="63"/>
      <c r="E379" s="64"/>
      <c r="F379" s="80" t="str">
        <f t="shared" si="5"/>
        <v/>
      </c>
    </row>
    <row r="380" spans="3:6" ht="14.4" hidden="1" customHeight="1" outlineLevel="1" thickBot="1" x14ac:dyDescent="0.35">
      <c r="C380" s="200">
        <v>89</v>
      </c>
      <c r="D380" s="63"/>
      <c r="E380" s="64"/>
      <c r="F380" s="80" t="str">
        <f t="shared" si="5"/>
        <v/>
      </c>
    </row>
    <row r="381" spans="3:6" ht="14.4" hidden="1" customHeight="1" outlineLevel="1" thickBot="1" x14ac:dyDescent="0.35">
      <c r="C381" s="199">
        <v>90</v>
      </c>
      <c r="D381" s="63"/>
      <c r="E381" s="64"/>
      <c r="F381" s="80" t="str">
        <f t="shared" si="5"/>
        <v/>
      </c>
    </row>
    <row r="382" spans="3:6" ht="14.4" hidden="1" customHeight="1" outlineLevel="1" thickBot="1" x14ac:dyDescent="0.35">
      <c r="C382" s="199">
        <v>91</v>
      </c>
      <c r="D382" s="63"/>
      <c r="E382" s="64"/>
      <c r="F382" s="80" t="str">
        <f t="shared" si="5"/>
        <v/>
      </c>
    </row>
    <row r="383" spans="3:6" ht="14.4" hidden="1" customHeight="1" outlineLevel="1" thickBot="1" x14ac:dyDescent="0.35">
      <c r="C383" s="200">
        <v>92</v>
      </c>
      <c r="D383" s="63"/>
      <c r="E383" s="64"/>
      <c r="F383" s="80" t="str">
        <f t="shared" si="5"/>
        <v/>
      </c>
    </row>
    <row r="384" spans="3:6" ht="14.4" hidden="1" customHeight="1" outlineLevel="1" thickBot="1" x14ac:dyDescent="0.35">
      <c r="C384" s="199">
        <v>93</v>
      </c>
      <c r="D384" s="63"/>
      <c r="E384" s="64"/>
      <c r="F384" s="80" t="str">
        <f t="shared" si="5"/>
        <v/>
      </c>
    </row>
    <row r="385" spans="3:9" ht="14.4" hidden="1" customHeight="1" outlineLevel="1" thickBot="1" x14ac:dyDescent="0.35">
      <c r="C385" s="199">
        <v>94</v>
      </c>
      <c r="D385" s="63"/>
      <c r="E385" s="64"/>
      <c r="F385" s="80" t="str">
        <f t="shared" si="5"/>
        <v/>
      </c>
    </row>
    <row r="386" spans="3:9" ht="14.4" hidden="1" customHeight="1" outlineLevel="1" thickBot="1" x14ac:dyDescent="0.35">
      <c r="C386" s="200">
        <v>95</v>
      </c>
      <c r="D386" s="63"/>
      <c r="E386" s="64"/>
      <c r="F386" s="80" t="str">
        <f t="shared" si="5"/>
        <v/>
      </c>
    </row>
    <row r="387" spans="3:9" ht="14.4" hidden="1" customHeight="1" outlineLevel="1" thickBot="1" x14ac:dyDescent="0.35">
      <c r="C387" s="199">
        <v>96</v>
      </c>
      <c r="D387" s="63"/>
      <c r="E387" s="64"/>
      <c r="F387" s="80" t="str">
        <f t="shared" si="5"/>
        <v/>
      </c>
    </row>
    <row r="388" spans="3:9" ht="14.4" hidden="1" customHeight="1" outlineLevel="1" thickBot="1" x14ac:dyDescent="0.35">
      <c r="C388" s="199">
        <v>97</v>
      </c>
      <c r="D388" s="63"/>
      <c r="E388" s="64"/>
      <c r="F388" s="80" t="str">
        <f t="shared" si="5"/>
        <v/>
      </c>
    </row>
    <row r="389" spans="3:9" ht="14.4" hidden="1" customHeight="1" outlineLevel="1" thickBot="1" x14ac:dyDescent="0.35">
      <c r="C389" s="200">
        <v>98</v>
      </c>
      <c r="D389" s="63"/>
      <c r="E389" s="64"/>
      <c r="F389" s="80" t="str">
        <f t="shared" si="5"/>
        <v/>
      </c>
    </row>
    <row r="390" spans="3:9" ht="14.4" hidden="1" customHeight="1" outlineLevel="1" thickBot="1" x14ac:dyDescent="0.35">
      <c r="C390" s="199">
        <v>99</v>
      </c>
      <c r="D390" s="63"/>
      <c r="E390" s="64"/>
      <c r="F390" s="80" t="str">
        <f t="shared" si="5"/>
        <v/>
      </c>
    </row>
    <row r="391" spans="3:9" ht="14.4" hidden="1" customHeight="1" outlineLevel="1" thickBot="1" x14ac:dyDescent="0.35">
      <c r="C391" s="201">
        <v>100</v>
      </c>
      <c r="D391" s="65"/>
      <c r="E391" s="60"/>
      <c r="F391" s="80" t="str">
        <f t="shared" si="5"/>
        <v/>
      </c>
    </row>
    <row r="392" spans="3:9" ht="15" collapsed="1" thickBot="1" x14ac:dyDescent="0.35"/>
    <row r="393" spans="3:9" ht="14.4" customHeight="1" thickBot="1" x14ac:dyDescent="0.35">
      <c r="C393" s="634" t="str">
        <f xml:space="preserve"> template_label_b1_disclosure_of_sustainability_related_certification_or_label &amp; " " &amp; template_label_from &amp; " " &amp; template_starting_date_display &amp; " " &amp; template_label_to &amp; " " &amp; template_ending_date_display &amp; " " &amp; template_label_if_applicable</f>
        <v>B1 - Publication de la ou des certification(s) ou label(s) liés à la durabilité du - au - [Le cas échéant]</v>
      </c>
      <c r="D393" s="634"/>
      <c r="E393" s="634"/>
      <c r="F393" s="634"/>
      <c r="G393" s="634"/>
      <c r="H393" s="647"/>
    </row>
    <row r="394" spans="3:9" ht="14.4" customHeight="1" x14ac:dyDescent="0.3">
      <c r="C394" s="636">
        <v>25</v>
      </c>
      <c r="D394" s="636"/>
      <c r="E394" s="636"/>
      <c r="F394" s="636"/>
      <c r="G394" s="636"/>
      <c r="H394" s="637"/>
    </row>
    <row r="395" spans="3:9" ht="14.4" customHeight="1" x14ac:dyDescent="0.3">
      <c r="C395" s="645">
        <v>13</v>
      </c>
      <c r="D395" s="645"/>
      <c r="E395" s="645"/>
      <c r="F395" s="645"/>
      <c r="G395" s="645"/>
      <c r="H395" s="646"/>
    </row>
    <row r="396" spans="3:9" ht="14.4" customHeight="1" x14ac:dyDescent="0.3">
      <c r="C396" s="650" t="str">
        <f>template_label_has_the_undertaking_obtained_any_sustainability_related_certification_or_label</f>
        <v>L'entreprise a-t-elle obtenu une ou plusieurs certification(s) ou label(s) liés à la durabilité ?</v>
      </c>
      <c r="D396" s="650"/>
      <c r="E396" s="651" t="b">
        <v>0</v>
      </c>
      <c r="F396" s="651"/>
      <c r="G396" s="651"/>
      <c r="H396" s="652"/>
    </row>
    <row r="397" spans="3:9" ht="30" customHeight="1" thickBot="1" x14ac:dyDescent="0.35">
      <c r="C397" s="699" t="str">
        <f>template_label_description_of_sustainability_related_certification_or_label</f>
        <v>Si l’entreprise a obtenu une certification ou un label lié à la durabilité, elle en fournit une brève description (y compris, le cas échéant, les organismes qui délivrent la certification ou le label, la date et la notation).</v>
      </c>
      <c r="D397" s="699"/>
      <c r="E397" s="642"/>
      <c r="F397" s="642"/>
      <c r="G397" s="642"/>
      <c r="H397" s="643"/>
      <c r="I397" s="16" t="str">
        <f>IF(AND(E396=TRUE,E397=""), template_label_missing_value,
IF(AND(E396=TRUE,E397&lt;&gt;""), template_label_ok, ""))</f>
        <v/>
      </c>
    </row>
    <row r="398" spans="3:9" ht="15" thickBot="1" x14ac:dyDescent="0.35"/>
    <row r="399" spans="3:9" ht="15" thickBot="1" x14ac:dyDescent="0.35">
      <c r="C399" s="634" t="str">
        <f>template_label_b1_list_of_site&amp; " " &amp; template_label_from &amp; " " &amp; template_starting_date_display &amp; " " &amp; template_label_to &amp; " " &amp; template_ending_date_display &amp; " " &amp; template_label_always_to_be_reported</f>
        <v xml:space="preserve">B1 - Liste des site(s) du - au - [Toujours à reporter] 
</v>
      </c>
      <c r="D399" s="634"/>
      <c r="E399" s="634"/>
      <c r="F399" s="634"/>
      <c r="G399" s="634"/>
      <c r="H399" s="634"/>
    </row>
    <row r="400" spans="3:9" x14ac:dyDescent="0.3">
      <c r="C400" s="636" t="s">
        <v>21</v>
      </c>
      <c r="D400" s="636"/>
      <c r="E400" s="636"/>
      <c r="F400" s="636"/>
      <c r="G400" s="636"/>
      <c r="H400" s="636"/>
    </row>
    <row r="401" spans="3:13" x14ac:dyDescent="0.3">
      <c r="C401" s="653" t="s">
        <v>22</v>
      </c>
      <c r="D401" s="653"/>
      <c r="E401" s="653"/>
      <c r="F401" s="653"/>
      <c r="G401" s="653"/>
      <c r="H401" s="653"/>
    </row>
    <row r="402" spans="3:13" x14ac:dyDescent="0.3">
      <c r="C402" s="654" t="str">
        <f>template_label_id</f>
        <v>ID</v>
      </c>
      <c r="D402" s="655" t="str">
        <f>template_label_address</f>
        <v>Adresse</v>
      </c>
      <c r="E402" s="655" t="str">
        <f>template_label_postal_code</f>
        <v>Code postal</v>
      </c>
      <c r="F402" s="658" t="str">
        <f>template_label_city</f>
        <v>Ville</v>
      </c>
      <c r="G402" s="655" t="str">
        <f>template_label_country</f>
        <v>Pays</v>
      </c>
      <c r="H402" s="387" t="str">
        <f>template_label_gps_coordinates</f>
        <v>Coordonnées (géolocalisation)</v>
      </c>
      <c r="I402" s="86"/>
    </row>
    <row r="403" spans="3:13" ht="78" customHeight="1" x14ac:dyDescent="0.3">
      <c r="C403" s="654"/>
      <c r="D403" s="655"/>
      <c r="E403" s="655"/>
      <c r="F403" s="659"/>
      <c r="G403" s="655"/>
      <c r="H403" s="388" t="str">
        <f>template_label_automatic_geolocation</f>
        <v>Géolocalisation automatique : en activant la géolocalisation automatique d'OpenStreetMap avec la case à cocher ci-dessous, l'entreprise déclare être pleinement consciente et accepter la politique d'utilisation de Nominatim ainsi que la politique de confidentialité.
OpenStreetMap® est une base de données ouverte sous licence Open Data Commons Open Database License (ODbL) par la Fondation OpenStreetMap (OSMF). Toutes les données appartiennent et sont la propriété d'OpenStreetMap®.</v>
      </c>
      <c r="I403" s="86"/>
      <c r="J403" s="2"/>
    </row>
    <row r="404" spans="3:13" ht="53.4" customHeight="1" x14ac:dyDescent="0.3">
      <c r="C404" s="654"/>
      <c r="D404" s="655"/>
      <c r="E404" s="655"/>
      <c r="F404" s="659"/>
      <c r="G404" s="655"/>
      <c r="H404" s="389" t="s">
        <v>23</v>
      </c>
      <c r="I404" s="86"/>
      <c r="J404" s="2"/>
    </row>
    <row r="405" spans="3:13" x14ac:dyDescent="0.3">
      <c r="C405" s="654"/>
      <c r="D405" s="655"/>
      <c r="E405" s="655"/>
      <c r="F405" s="660"/>
      <c r="G405" s="655"/>
      <c r="H405" s="390" t="b">
        <v>0</v>
      </c>
      <c r="I405" s="86"/>
      <c r="J405" s="292"/>
    </row>
    <row r="406" spans="3:13" x14ac:dyDescent="0.3">
      <c r="C406" s="199">
        <v>1</v>
      </c>
      <c r="D406" s="66"/>
      <c r="E406" s="67"/>
      <c r="F406" s="386"/>
      <c r="G406" s="66"/>
      <c r="H406" s="391" t="str">
        <f>IF(COUNTA(D406:G406)=COLUMNS(D406:G406), IFERROR('Technical Sheet'!G2, "-"), "-")</f>
        <v>-</v>
      </c>
      <c r="I406" s="17" t="str">
        <f>IF(OR(
'Table of Contents &amp; Validation'!D16=TRUE, 'Table of Contents &amp; Validation'!D11=TRUE),
IF(OR(E125="Option A (Basic Module only)", E125="Option B (Basic Module and Comprehensive Module)"),
    IF(AND(D406&lt;&gt;"", E406&lt;&gt;"", F406&lt;&gt;"", G406&lt;&gt;"", H406&lt;&gt;""),
        template_label_ok,
        ""
    ),
    ""
),
IF(OR(E125="Option A (Basic Module only)", E125="Option B (Basic Module and Comprehensive Module)"),
    IF(AND(D406&lt;&gt;"", E406&lt;&gt;"", F406&lt;&gt;"", G406&lt;&gt;"", H406&lt;&gt;""),
        template_label_ok,
        template_label_missing_value
    ),
    ""
)
)</f>
        <v/>
      </c>
      <c r="J406" s="184" t="str">
        <f>IF(AND(D406&lt;&gt;"", E406&lt;&gt;"", F406&lt;&gt;"", G406&lt;&gt;""),
    IFERROR(HYPERLINK("https://www.openstreetmap.org/search?lat=" &amp; 'Technical Sheet'!E2 &amp; "&amp;lon=" &amp; 'Technical Sheet'!F2, "OpenStreetMap Link"),
    ""),
"")</f>
        <v/>
      </c>
      <c r="K406" s="87" t="str">
        <f t="shared" ref="K406:K428" si="6">LOWER(SUBSTITUTE(D406," ","+" )) &amp; "+" &amp; LOWER(SUBSTITUTE(E406," ","+" )) &amp; "+" &amp; LOWER(SUBSTITUTE(F406," ","+" )) &amp; "+" &amp; LOWER(SUBSTITUTE(G406," ","+" )) &amp; "+"</f>
        <v>++++</v>
      </c>
      <c r="L406" t="str">
        <f>template_label_geolocalisation_warning</f>
        <v>ℹ️ Veuillez faire attention à séparer chaque numéro de rue et numéro de maison en utilisant le symbole slash "/" et non la virgule ","</v>
      </c>
      <c r="M406" s="82"/>
    </row>
    <row r="407" spans="3:13" x14ac:dyDescent="0.3">
      <c r="C407" s="199">
        <v>2</v>
      </c>
      <c r="D407" s="66"/>
      <c r="E407" s="67"/>
      <c r="F407" s="386"/>
      <c r="G407" s="66"/>
      <c r="H407" s="391" t="str">
        <f>IF(COUNTA(D407:G407)=COLUMNS(D407:G407), IFERROR('Technical Sheet'!G3, "-"), "-")</f>
        <v>-</v>
      </c>
      <c r="I407" s="17" t="str">
        <f t="shared" ref="I407:I438" si="7">IF(AND(D407&lt;&gt;"", E407&lt;&gt;"", F407&lt;&gt;"", G407&lt;&gt;"", H407&lt;&gt;""), template_label_ok,
    IF(AND(D407="", E407="", F407="", G407="", H407="-"), "",
        template_label_missing_value
    )
)</f>
        <v/>
      </c>
      <c r="J407" s="184" t="str">
        <f>IF(AND(D407&lt;&gt;"", E407&lt;&gt;"", F407&lt;&gt;"", G407&lt;&gt;""),
    IFERROR(HYPERLINK("https://www.openstreetmap.org/search?lat=" &amp; 'Technical Sheet'!E3 &amp; "&amp;lon=" &amp; 'Technical Sheet'!F3, "OpenStreetMap Link"),
    ""),
"")</f>
        <v/>
      </c>
      <c r="K407" s="87" t="str">
        <f t="shared" si="6"/>
        <v>++++</v>
      </c>
    </row>
    <row r="408" spans="3:13" ht="15" thickBot="1" x14ac:dyDescent="0.35">
      <c r="C408" s="201">
        <v>3</v>
      </c>
      <c r="D408" s="72"/>
      <c r="E408" s="73"/>
      <c r="F408" s="392"/>
      <c r="G408" s="72"/>
      <c r="H408" s="350" t="str">
        <f>IF(COUNTA(D408:G408)=COLUMNS(D408:G408), IFERROR('Technical Sheet'!G4, "-"), "-")</f>
        <v>-</v>
      </c>
      <c r="I408" s="17" t="str">
        <f t="shared" si="7"/>
        <v/>
      </c>
      <c r="J408" s="184" t="str">
        <f>IF(AND(D408&lt;&gt;"", E408&lt;&gt;"", F408&lt;&gt;"", G408&lt;&gt;""),
    IFERROR(HYPERLINK("https://www.openstreetmap.org/search?lat=" &amp; 'Technical Sheet'!E4 &amp; "&amp;lon=" &amp; 'Technical Sheet'!F4, "OpenStreetMap Link"),
    ""),
"")</f>
        <v/>
      </c>
      <c r="K408" s="87" t="str">
        <f t="shared" si="6"/>
        <v>++++</v>
      </c>
      <c r="L408" t="str">
        <f>template_label_additional_rows_warning</f>
        <v>ℹ️Les listes peuvent être déroulées à l’aide du bouton plus [+] situé à gauche. Si le nombre de lignes n’est pas suffisant, des lignes supplémentaires peuvent être ajoutées en cliquant avec le bouton droit sur la deuxième ligne et en sélectionnant « Insérer une ligne ».</v>
      </c>
    </row>
    <row r="409" spans="3:13" hidden="1" outlineLevel="1" x14ac:dyDescent="0.3">
      <c r="C409" s="200">
        <v>4</v>
      </c>
      <c r="D409" s="69"/>
      <c r="E409" s="70"/>
      <c r="F409" s="71"/>
      <c r="G409" s="69"/>
      <c r="H409" s="179" t="str">
        <f>IF(COUNTA(D409:G409)=COLUMNS(D409:G409), IFERROR('Technical Sheet'!G5, "-"), "-")</f>
        <v>-</v>
      </c>
      <c r="I409" s="17" t="str">
        <f t="shared" si="7"/>
        <v/>
      </c>
      <c r="J409" s="184" t="str">
        <f>IF(AND(D409&lt;&gt;"", E409&lt;&gt;"", F409&lt;&gt;"", G409&lt;&gt;""),
    IFERROR(HYPERLINK("https://www.openstreetmap.org/search?lat=" &amp; 'Technical Sheet'!E5 &amp; "&amp;lon=" &amp; 'Technical Sheet'!F5, "OpenStreetMap Link"),
    ""),
"")</f>
        <v/>
      </c>
      <c r="K409" s="87" t="str">
        <f t="shared" si="6"/>
        <v>++++</v>
      </c>
    </row>
    <row r="410" spans="3:13" hidden="1" outlineLevel="1" x14ac:dyDescent="0.3">
      <c r="C410" s="200">
        <v>5</v>
      </c>
      <c r="D410" s="66"/>
      <c r="E410" s="67"/>
      <c r="F410" s="68"/>
      <c r="G410" s="66"/>
      <c r="H410" s="178" t="str">
        <f>IF(COUNTA(D410:G410)=COLUMNS(D410:G410), IFERROR('Technical Sheet'!G6, "-"), "-")</f>
        <v>-</v>
      </c>
      <c r="I410" s="17" t="str">
        <f t="shared" si="7"/>
        <v/>
      </c>
      <c r="J410" s="184" t="str">
        <f>IF(AND(D410&lt;&gt;"", E410&lt;&gt;"", F410&lt;&gt;"", G410&lt;&gt;""),
    IFERROR(HYPERLINK("https://www.openstreetmap.org/search?lat=" &amp; 'Technical Sheet'!E6 &amp; "&amp;lon=" &amp; 'Technical Sheet'!F6, "OpenStreetMap Link"),
    ""),
"")</f>
        <v/>
      </c>
      <c r="K410" s="87" t="str">
        <f t="shared" si="6"/>
        <v>++++</v>
      </c>
    </row>
    <row r="411" spans="3:13" hidden="1" outlineLevel="1" x14ac:dyDescent="0.3">
      <c r="C411" s="199">
        <v>6</v>
      </c>
      <c r="D411" s="66"/>
      <c r="E411" s="67"/>
      <c r="F411" s="68"/>
      <c r="G411" s="66"/>
      <c r="H411" s="178" t="str">
        <f>IF(COUNTA(D411:G411)=COLUMNS(D411:G411), IFERROR('Technical Sheet'!G7, "-"), "-")</f>
        <v>-</v>
      </c>
      <c r="I411" s="17" t="str">
        <f t="shared" si="7"/>
        <v/>
      </c>
      <c r="J411" s="184" t="str">
        <f>IF(AND(D411&lt;&gt;"", E411&lt;&gt;"", F411&lt;&gt;"", G411&lt;&gt;""),
    IFERROR(HYPERLINK("https://www.openstreetmap.org/search?lat=" &amp; 'Technical Sheet'!E7 &amp; "&amp;lon=" &amp; 'Technical Sheet'!F7, "OpenStreetMap Link"),
    ""),
"")</f>
        <v/>
      </c>
      <c r="K411" s="87" t="str">
        <f t="shared" si="6"/>
        <v>++++</v>
      </c>
    </row>
    <row r="412" spans="3:13" hidden="1" outlineLevel="1" x14ac:dyDescent="0.3">
      <c r="C412" s="199">
        <v>7</v>
      </c>
      <c r="D412" s="66"/>
      <c r="E412" s="67"/>
      <c r="F412" s="68"/>
      <c r="G412" s="66"/>
      <c r="H412" s="178" t="str">
        <f>IF(COUNTA(D412:G412)=COLUMNS(D412:G412), IFERROR('Technical Sheet'!G8, "-"), "-")</f>
        <v>-</v>
      </c>
      <c r="I412" s="17" t="str">
        <f t="shared" si="7"/>
        <v/>
      </c>
      <c r="J412" s="184" t="str">
        <f>IF(AND(D412&lt;&gt;"", E412&lt;&gt;"", F412&lt;&gt;"", G412&lt;&gt;""),
    IFERROR(HYPERLINK("https://www.openstreetmap.org/search?lat=" &amp; 'Technical Sheet'!E8 &amp; "&amp;lon=" &amp; 'Technical Sheet'!F8, "OpenStreetMap Link"),
    ""),
"")</f>
        <v/>
      </c>
      <c r="K412" s="87" t="str">
        <f t="shared" si="6"/>
        <v>++++</v>
      </c>
    </row>
    <row r="413" spans="3:13" hidden="1" outlineLevel="1" x14ac:dyDescent="0.3">
      <c r="C413" s="200">
        <v>8</v>
      </c>
      <c r="D413" s="66"/>
      <c r="E413" s="67"/>
      <c r="F413" s="68"/>
      <c r="G413" s="66"/>
      <c r="H413" s="178" t="str">
        <f>IF(COUNTA(D413:G413)=COLUMNS(D413:G413), IFERROR('Technical Sheet'!G9, "-"), "-")</f>
        <v>-</v>
      </c>
      <c r="I413" s="17" t="str">
        <f t="shared" si="7"/>
        <v/>
      </c>
      <c r="J413" s="184" t="str">
        <f>IF(AND(D413&lt;&gt;"", E413&lt;&gt;"", F413&lt;&gt;"", G413&lt;&gt;""),
    IFERROR(HYPERLINK("https://www.openstreetmap.org/search?lat=" &amp; 'Technical Sheet'!E9 &amp; "&amp;lon=" &amp; 'Technical Sheet'!F9, "OpenStreetMap Link"),
    ""),
"")</f>
        <v/>
      </c>
      <c r="K413" s="87" t="str">
        <f t="shared" si="6"/>
        <v>++++</v>
      </c>
    </row>
    <row r="414" spans="3:13" hidden="1" outlineLevel="1" x14ac:dyDescent="0.3">
      <c r="C414" s="199">
        <v>9</v>
      </c>
      <c r="D414" s="66"/>
      <c r="E414" s="67"/>
      <c r="F414" s="68"/>
      <c r="G414" s="66"/>
      <c r="H414" s="178" t="str">
        <f>IF(COUNTA(D414:G414)=COLUMNS(D414:G414), IFERROR('Technical Sheet'!G10, "-"), "-")</f>
        <v>-</v>
      </c>
      <c r="I414" s="17" t="str">
        <f t="shared" si="7"/>
        <v/>
      </c>
      <c r="J414" s="184" t="str">
        <f>IF(AND(D414&lt;&gt;"", E414&lt;&gt;"", F414&lt;&gt;"", G414&lt;&gt;""),
    IFERROR(HYPERLINK("https://www.openstreetmap.org/search?lat=" &amp; 'Technical Sheet'!E10 &amp; "&amp;lon=" &amp; 'Technical Sheet'!F10, "OpenStreetMap Link"),
    ""),
"")</f>
        <v/>
      </c>
      <c r="K414" s="87" t="str">
        <f t="shared" si="6"/>
        <v>++++</v>
      </c>
    </row>
    <row r="415" spans="3:13" hidden="1" outlineLevel="1" x14ac:dyDescent="0.3">
      <c r="C415" s="199">
        <v>10</v>
      </c>
      <c r="D415" s="66"/>
      <c r="E415" s="67"/>
      <c r="F415" s="68"/>
      <c r="G415" s="66"/>
      <c r="H415" s="178" t="str">
        <f>IF(COUNTA(D415:G415)=COLUMNS(D415:G415), IFERROR('Technical Sheet'!G11, "-"), "-")</f>
        <v>-</v>
      </c>
      <c r="I415" s="17" t="str">
        <f t="shared" si="7"/>
        <v/>
      </c>
      <c r="J415" s="184" t="str">
        <f>IF(AND(D415&lt;&gt;"", E415&lt;&gt;"", F415&lt;&gt;"", G415&lt;&gt;""),
    IFERROR(HYPERLINK("https://www.openstreetmap.org/search?lat=" &amp; 'Technical Sheet'!E11 &amp; "&amp;lon=" &amp; 'Technical Sheet'!F11, "OpenStreetMap Link"),
    ""),
"")</f>
        <v/>
      </c>
      <c r="K415" s="87" t="str">
        <f t="shared" si="6"/>
        <v>++++</v>
      </c>
    </row>
    <row r="416" spans="3:13" hidden="1" outlineLevel="1" x14ac:dyDescent="0.3">
      <c r="C416" s="200">
        <v>11</v>
      </c>
      <c r="D416" s="66"/>
      <c r="E416" s="67"/>
      <c r="F416" s="68"/>
      <c r="G416" s="66"/>
      <c r="H416" s="178" t="str">
        <f>IF(COUNTA(D416:G416)=COLUMNS(D416:G416), IFERROR('Technical Sheet'!G12, "-"), "-")</f>
        <v>-</v>
      </c>
      <c r="I416" s="17" t="str">
        <f t="shared" si="7"/>
        <v/>
      </c>
      <c r="J416" s="184" t="str">
        <f>IF(AND(D416&lt;&gt;"", E416&lt;&gt;"", F416&lt;&gt;"", G416&lt;&gt;""),
    IFERROR(HYPERLINK("https://www.openstreetmap.org/search?lat=" &amp; 'Technical Sheet'!E12 &amp; "&amp;lon=" &amp; 'Technical Sheet'!F12, "OpenStreetMap Link"),
    ""),
"")</f>
        <v/>
      </c>
      <c r="K416" s="87" t="str">
        <f t="shared" si="6"/>
        <v>++++</v>
      </c>
    </row>
    <row r="417" spans="3:11" hidden="1" outlineLevel="1" x14ac:dyDescent="0.3">
      <c r="C417" s="199">
        <v>12</v>
      </c>
      <c r="D417" s="66"/>
      <c r="E417" s="67"/>
      <c r="F417" s="68"/>
      <c r="G417" s="66"/>
      <c r="H417" s="178" t="str">
        <f>IF(COUNTA(D417:G417)=COLUMNS(D417:G417), IFERROR('Technical Sheet'!G13, "-"), "-")</f>
        <v>-</v>
      </c>
      <c r="I417" s="17" t="str">
        <f t="shared" si="7"/>
        <v/>
      </c>
      <c r="J417" s="184" t="str">
        <f>IF(AND(D417&lt;&gt;"", E417&lt;&gt;"", F417&lt;&gt;"", G417&lt;&gt;""),
    IFERROR(HYPERLINK("https://www.openstreetmap.org/search?lat=" &amp; 'Technical Sheet'!E13 &amp; "&amp;lon=" &amp; 'Technical Sheet'!F13, "OpenStreetMap Link"),
    ""),
"")</f>
        <v/>
      </c>
      <c r="K417" s="87" t="str">
        <f t="shared" si="6"/>
        <v>++++</v>
      </c>
    </row>
    <row r="418" spans="3:11" hidden="1" outlineLevel="1" x14ac:dyDescent="0.3">
      <c r="C418" s="199">
        <v>13</v>
      </c>
      <c r="D418" s="66"/>
      <c r="E418" s="67"/>
      <c r="F418" s="68"/>
      <c r="G418" s="66"/>
      <c r="H418" s="178" t="str">
        <f>IF(COUNTA(D418:G418)=COLUMNS(D418:G418), IFERROR('Technical Sheet'!G14, "-"), "-")</f>
        <v>-</v>
      </c>
      <c r="I418" s="17" t="str">
        <f t="shared" si="7"/>
        <v/>
      </c>
      <c r="J418" s="184" t="str">
        <f>IF(AND(D418&lt;&gt;"", E418&lt;&gt;"", F418&lt;&gt;"", G418&lt;&gt;""),
    IFERROR(HYPERLINK("https://www.openstreetmap.org/search?lat=" &amp; 'Technical Sheet'!E14 &amp; "&amp;lon=" &amp; 'Technical Sheet'!F14, "OpenStreetMap Link"),
    ""),
"")</f>
        <v/>
      </c>
      <c r="K418" s="87" t="str">
        <f t="shared" si="6"/>
        <v>++++</v>
      </c>
    </row>
    <row r="419" spans="3:11" hidden="1" outlineLevel="1" x14ac:dyDescent="0.3">
      <c r="C419" s="200">
        <v>14</v>
      </c>
      <c r="D419" s="66"/>
      <c r="E419" s="67"/>
      <c r="F419" s="68"/>
      <c r="G419" s="66"/>
      <c r="H419" s="178" t="str">
        <f>IF(COUNTA(D419:G419)=COLUMNS(D419:G419), IFERROR('Technical Sheet'!G15, "-"), "-")</f>
        <v>-</v>
      </c>
      <c r="I419" s="17" t="str">
        <f t="shared" si="7"/>
        <v/>
      </c>
      <c r="J419" s="184" t="str">
        <f>IF(AND(D419&lt;&gt;"", E419&lt;&gt;"", F419&lt;&gt;"", G419&lt;&gt;""),
    IFERROR(HYPERLINK("https://www.openstreetmap.org/search?lat=" &amp; 'Technical Sheet'!E15 &amp; "&amp;lon=" &amp; 'Technical Sheet'!F15, "OpenStreetMap Link"),
    ""),
"")</f>
        <v/>
      </c>
      <c r="K419" s="87" t="str">
        <f t="shared" si="6"/>
        <v>++++</v>
      </c>
    </row>
    <row r="420" spans="3:11" hidden="1" outlineLevel="1" x14ac:dyDescent="0.3">
      <c r="C420" s="199">
        <v>15</v>
      </c>
      <c r="D420" s="66"/>
      <c r="E420" s="67"/>
      <c r="F420" s="68"/>
      <c r="G420" s="66"/>
      <c r="H420" s="178" t="str">
        <f>IF(COUNTA(D420:G420)=COLUMNS(D420:G420), IFERROR('Technical Sheet'!G16, "-"), "-")</f>
        <v>-</v>
      </c>
      <c r="I420" s="17" t="str">
        <f t="shared" si="7"/>
        <v/>
      </c>
      <c r="J420" s="184" t="str">
        <f>IF(AND(D420&lt;&gt;"", E420&lt;&gt;"", F420&lt;&gt;"", G420&lt;&gt;""),
    IFERROR(HYPERLINK("https://www.openstreetmap.org/search?lat=" &amp; 'Technical Sheet'!E16 &amp; "&amp;lon=" &amp; 'Technical Sheet'!F16, "OpenStreetMap Link"),
    ""),
"")</f>
        <v/>
      </c>
      <c r="K420" s="87" t="str">
        <f t="shared" si="6"/>
        <v>++++</v>
      </c>
    </row>
    <row r="421" spans="3:11" hidden="1" outlineLevel="1" x14ac:dyDescent="0.3">
      <c r="C421" s="199">
        <v>16</v>
      </c>
      <c r="D421" s="66"/>
      <c r="E421" s="67"/>
      <c r="F421" s="68"/>
      <c r="G421" s="66"/>
      <c r="H421" s="178" t="str">
        <f>IF(COUNTA(D421:G421)=COLUMNS(D421:G421), IFERROR('Technical Sheet'!G17, "-"), "-")</f>
        <v>-</v>
      </c>
      <c r="I421" s="17" t="str">
        <f t="shared" si="7"/>
        <v/>
      </c>
      <c r="J421" s="184" t="str">
        <f>IF(AND(D421&lt;&gt;"", E421&lt;&gt;"", F421&lt;&gt;"", G421&lt;&gt;""),
    IFERROR(HYPERLINK("https://www.openstreetmap.org/search?lat=" &amp; 'Technical Sheet'!E17 &amp; "&amp;lon=" &amp; 'Technical Sheet'!F17, "OpenStreetMap Link"),
    ""),
"")</f>
        <v/>
      </c>
      <c r="K421" s="87" t="str">
        <f t="shared" si="6"/>
        <v>++++</v>
      </c>
    </row>
    <row r="422" spans="3:11" hidden="1" outlineLevel="1" x14ac:dyDescent="0.3">
      <c r="C422" s="200">
        <v>17</v>
      </c>
      <c r="D422" s="66"/>
      <c r="E422" s="67"/>
      <c r="F422" s="68"/>
      <c r="G422" s="66"/>
      <c r="H422" s="178" t="str">
        <f>IF(COUNTA(D422:G422)=COLUMNS(D422:G422), IFERROR('Technical Sheet'!G18, "-"), "-")</f>
        <v>-</v>
      </c>
      <c r="I422" s="17" t="str">
        <f t="shared" si="7"/>
        <v/>
      </c>
      <c r="J422" s="184" t="str">
        <f>IF(AND(D422&lt;&gt;"", E422&lt;&gt;"", F422&lt;&gt;"", G422&lt;&gt;""),
    IFERROR(HYPERLINK("https://www.openstreetmap.org/search?lat=" &amp; 'Technical Sheet'!E18 &amp; "&amp;lon=" &amp; 'Technical Sheet'!F18, "OpenStreetMap Link"),
    ""),
"")</f>
        <v/>
      </c>
      <c r="K422" s="87" t="str">
        <f t="shared" si="6"/>
        <v>++++</v>
      </c>
    </row>
    <row r="423" spans="3:11" hidden="1" outlineLevel="1" x14ac:dyDescent="0.3">
      <c r="C423" s="199">
        <v>18</v>
      </c>
      <c r="D423" s="66"/>
      <c r="E423" s="67"/>
      <c r="F423" s="68"/>
      <c r="G423" s="66"/>
      <c r="H423" s="178" t="str">
        <f>IF(COUNTA(D423:G423)=COLUMNS(D423:G423), IFERROR('Technical Sheet'!G19, "-"), "-")</f>
        <v>-</v>
      </c>
      <c r="I423" s="17" t="str">
        <f t="shared" si="7"/>
        <v/>
      </c>
      <c r="J423" s="184" t="str">
        <f>IF(AND(D423&lt;&gt;"", E423&lt;&gt;"", F423&lt;&gt;"", G423&lt;&gt;""),
    IFERROR(HYPERLINK("https://www.openstreetmap.org/search?lat=" &amp; 'Technical Sheet'!E19 &amp; "&amp;lon=" &amp; 'Technical Sheet'!F19, "OpenStreetMap Link"),
    ""),
"")</f>
        <v/>
      </c>
      <c r="K423" s="87" t="str">
        <f t="shared" si="6"/>
        <v>++++</v>
      </c>
    </row>
    <row r="424" spans="3:11" hidden="1" outlineLevel="1" x14ac:dyDescent="0.3">
      <c r="C424" s="199">
        <v>19</v>
      </c>
      <c r="D424" s="66"/>
      <c r="E424" s="67"/>
      <c r="F424" s="68"/>
      <c r="G424" s="66"/>
      <c r="H424" s="178" t="str">
        <f>IF(COUNTA(D424:G424)=COLUMNS(D424:G424), IFERROR('Technical Sheet'!G20, "-"), "-")</f>
        <v>-</v>
      </c>
      <c r="I424" s="17" t="str">
        <f t="shared" si="7"/>
        <v/>
      </c>
      <c r="J424" s="184" t="str">
        <f>IF(AND(D424&lt;&gt;"", E424&lt;&gt;"", F424&lt;&gt;"", G424&lt;&gt;""),
    IFERROR(HYPERLINK("https://www.openstreetmap.org/search?lat=" &amp; 'Technical Sheet'!E20 &amp; "&amp;lon=" &amp; 'Technical Sheet'!F20, "OpenStreetMap Link"),
    ""),
"")</f>
        <v/>
      </c>
      <c r="K424" s="87" t="str">
        <f t="shared" si="6"/>
        <v>++++</v>
      </c>
    </row>
    <row r="425" spans="3:11" hidden="1" outlineLevel="1" x14ac:dyDescent="0.3">
      <c r="C425" s="200">
        <v>20</v>
      </c>
      <c r="D425" s="66"/>
      <c r="E425" s="67"/>
      <c r="F425" s="68"/>
      <c r="G425" s="66"/>
      <c r="H425" s="178" t="str">
        <f>IF(COUNTA(D425:G425)=COLUMNS(D425:G425), IFERROR('Technical Sheet'!G21, "-"), "-")</f>
        <v>-</v>
      </c>
      <c r="I425" s="17" t="str">
        <f t="shared" si="7"/>
        <v/>
      </c>
      <c r="J425" s="184" t="str">
        <f>IF(AND(D425&lt;&gt;"", E425&lt;&gt;"", F425&lt;&gt;"", G425&lt;&gt;""),
    IFERROR(HYPERLINK("https://www.openstreetmap.org/search?lat=" &amp; 'Technical Sheet'!E21 &amp; "&amp;lon=" &amp; 'Technical Sheet'!F21, "OpenStreetMap Link"),
    ""),
"")</f>
        <v/>
      </c>
      <c r="K425" s="87" t="str">
        <f t="shared" si="6"/>
        <v>++++</v>
      </c>
    </row>
    <row r="426" spans="3:11" hidden="1" outlineLevel="1" x14ac:dyDescent="0.3">
      <c r="C426" s="199">
        <v>21</v>
      </c>
      <c r="D426" s="66"/>
      <c r="E426" s="67"/>
      <c r="F426" s="68"/>
      <c r="G426" s="66"/>
      <c r="H426" s="178" t="str">
        <f>IF(COUNTA(D426:G426)=COLUMNS(D426:G426), IFERROR('Technical Sheet'!G22, "-"), "-")</f>
        <v>-</v>
      </c>
      <c r="I426" s="17" t="str">
        <f t="shared" si="7"/>
        <v/>
      </c>
      <c r="J426" s="184" t="str">
        <f>IF(AND(D426&lt;&gt;"", E426&lt;&gt;"", F426&lt;&gt;"", G426&lt;&gt;""),
    IFERROR(HYPERLINK("https://www.openstreetmap.org/search?lat=" &amp; 'Technical Sheet'!E22 &amp; "&amp;lon=" &amp; 'Technical Sheet'!F22, "OpenStreetMap Link"),
    ""),
"")</f>
        <v/>
      </c>
      <c r="K426" s="87" t="str">
        <f t="shared" si="6"/>
        <v>++++</v>
      </c>
    </row>
    <row r="427" spans="3:11" hidden="1" outlineLevel="1" x14ac:dyDescent="0.3">
      <c r="C427" s="199">
        <v>22</v>
      </c>
      <c r="D427" s="66"/>
      <c r="E427" s="67"/>
      <c r="F427" s="68"/>
      <c r="G427" s="66"/>
      <c r="H427" s="178" t="str">
        <f>IF(COUNTA(D427:G427)=COLUMNS(D427:G427), IFERROR('Technical Sheet'!G23, "-"), "-")</f>
        <v>-</v>
      </c>
      <c r="I427" s="17" t="str">
        <f t="shared" si="7"/>
        <v/>
      </c>
      <c r="J427" s="184" t="str">
        <f>IF(AND(D427&lt;&gt;"", E427&lt;&gt;"", F427&lt;&gt;"", G427&lt;&gt;""),
    IFERROR(HYPERLINK("https://www.openstreetmap.org/search?lat=" &amp; 'Technical Sheet'!E23 &amp; "&amp;lon=" &amp; 'Technical Sheet'!F23, "OpenStreetMap Link"),
    ""),
"")</f>
        <v/>
      </c>
      <c r="K427" s="87" t="str">
        <f t="shared" si="6"/>
        <v>++++</v>
      </c>
    </row>
    <row r="428" spans="3:11" hidden="1" outlineLevel="1" x14ac:dyDescent="0.3">
      <c r="C428" s="200">
        <v>23</v>
      </c>
      <c r="D428" s="66"/>
      <c r="E428" s="67"/>
      <c r="F428" s="68"/>
      <c r="G428" s="66"/>
      <c r="H428" s="178" t="str">
        <f>IF(COUNTA(D428:G428)=COLUMNS(D428:G428), IFERROR('Technical Sheet'!G24, "-"), "-")</f>
        <v>-</v>
      </c>
      <c r="I428" s="17" t="str">
        <f t="shared" si="7"/>
        <v/>
      </c>
      <c r="J428" s="184" t="str">
        <f>IF(AND(D428&lt;&gt;"", E428&lt;&gt;"", F428&lt;&gt;"", G428&lt;&gt;""),
    IFERROR(HYPERLINK("https://www.openstreetmap.org/search?lat=" &amp; 'Technical Sheet'!E118 &amp; "&amp;lon=" &amp; 'Technical Sheet'!F118, "OpenStreetMap Link"),
    ""),
"")</f>
        <v/>
      </c>
      <c r="K428" s="87" t="str">
        <f t="shared" si="6"/>
        <v>++++</v>
      </c>
    </row>
    <row r="429" spans="3:11" hidden="1" outlineLevel="1" x14ac:dyDescent="0.3">
      <c r="C429" s="199">
        <v>24</v>
      </c>
      <c r="D429" s="75"/>
      <c r="E429" s="76"/>
      <c r="F429" s="77"/>
      <c r="G429" s="75"/>
      <c r="H429" s="178" t="str">
        <f>IF(COUNTA(D429:G429)=COLUMNS(D429:G429), IFERROR('Technical Sheet'!G25, "-"), "-")</f>
        <v>-</v>
      </c>
      <c r="I429" s="17" t="str">
        <f t="shared" si="7"/>
        <v/>
      </c>
      <c r="J429" s="184"/>
      <c r="K429" s="87"/>
    </row>
    <row r="430" spans="3:11" hidden="1" outlineLevel="1" x14ac:dyDescent="0.3">
      <c r="C430" s="199">
        <v>25</v>
      </c>
      <c r="D430" s="75"/>
      <c r="E430" s="76"/>
      <c r="F430" s="77"/>
      <c r="G430" s="75"/>
      <c r="H430" s="178" t="str">
        <f>IF(COUNTA(D430:G430)=COLUMNS(D430:G430), IFERROR('Technical Sheet'!G26, "-"), "-")</f>
        <v>-</v>
      </c>
      <c r="I430" s="17" t="str">
        <f t="shared" si="7"/>
        <v/>
      </c>
      <c r="J430" s="184"/>
      <c r="K430" s="87"/>
    </row>
    <row r="431" spans="3:11" hidden="1" outlineLevel="1" x14ac:dyDescent="0.3">
      <c r="C431" s="200">
        <v>26</v>
      </c>
      <c r="D431" s="75"/>
      <c r="E431" s="76"/>
      <c r="F431" s="77"/>
      <c r="G431" s="75"/>
      <c r="H431" s="178" t="str">
        <f>IF(COUNTA(D431:G431)=COLUMNS(D431:G431), IFERROR('Technical Sheet'!G27, "-"), "-")</f>
        <v>-</v>
      </c>
      <c r="I431" s="17" t="str">
        <f t="shared" si="7"/>
        <v/>
      </c>
      <c r="J431" s="184"/>
      <c r="K431" s="87"/>
    </row>
    <row r="432" spans="3:11" hidden="1" outlineLevel="1" x14ac:dyDescent="0.3">
      <c r="C432" s="199">
        <v>27</v>
      </c>
      <c r="D432" s="75"/>
      <c r="E432" s="76"/>
      <c r="F432" s="77"/>
      <c r="G432" s="75"/>
      <c r="H432" s="178" t="str">
        <f>IF(COUNTA(D432:G432)=COLUMNS(D432:G432), IFERROR('Technical Sheet'!G28, "-"), "-")</f>
        <v>-</v>
      </c>
      <c r="I432" s="17" t="str">
        <f t="shared" si="7"/>
        <v/>
      </c>
      <c r="J432" s="184"/>
      <c r="K432" s="87"/>
    </row>
    <row r="433" spans="3:11" hidden="1" outlineLevel="1" x14ac:dyDescent="0.3">
      <c r="C433" s="199">
        <v>28</v>
      </c>
      <c r="D433" s="75"/>
      <c r="E433" s="76"/>
      <c r="F433" s="77"/>
      <c r="G433" s="75"/>
      <c r="H433" s="178" t="str">
        <f>IF(COUNTA(D433:G433)=COLUMNS(D433:G433), IFERROR('Technical Sheet'!G29, "-"), "-")</f>
        <v>-</v>
      </c>
      <c r="I433" s="17" t="str">
        <f t="shared" si="7"/>
        <v/>
      </c>
      <c r="J433" s="184"/>
      <c r="K433" s="87"/>
    </row>
    <row r="434" spans="3:11" hidden="1" outlineLevel="1" x14ac:dyDescent="0.3">
      <c r="C434" s="200">
        <v>29</v>
      </c>
      <c r="D434" s="75"/>
      <c r="E434" s="76"/>
      <c r="F434" s="77"/>
      <c r="G434" s="75"/>
      <c r="H434" s="178" t="str">
        <f>IF(COUNTA(D434:G434)=COLUMNS(D434:G434), IFERROR('Technical Sheet'!G30, "-"), "-")</f>
        <v>-</v>
      </c>
      <c r="I434" s="17" t="str">
        <f t="shared" si="7"/>
        <v/>
      </c>
      <c r="J434" s="184"/>
      <c r="K434" s="87"/>
    </row>
    <row r="435" spans="3:11" hidden="1" outlineLevel="1" x14ac:dyDescent="0.3">
      <c r="C435" s="199">
        <v>30</v>
      </c>
      <c r="D435" s="75"/>
      <c r="E435" s="76"/>
      <c r="F435" s="77"/>
      <c r="G435" s="75"/>
      <c r="H435" s="178" t="str">
        <f>IF(COUNTA(D435:G435)=COLUMNS(D435:G435), IFERROR('Technical Sheet'!G31, "-"), "-")</f>
        <v>-</v>
      </c>
      <c r="I435" s="17" t="str">
        <f t="shared" si="7"/>
        <v/>
      </c>
      <c r="J435" s="184"/>
      <c r="K435" s="87"/>
    </row>
    <row r="436" spans="3:11" hidden="1" outlineLevel="1" x14ac:dyDescent="0.3">
      <c r="C436" s="199">
        <v>31</v>
      </c>
      <c r="D436" s="75"/>
      <c r="E436" s="76"/>
      <c r="F436" s="77"/>
      <c r="G436" s="75"/>
      <c r="H436" s="178" t="str">
        <f>IF(COUNTA(D436:G436)=COLUMNS(D436:G436), IFERROR('Technical Sheet'!G32, "-"), "-")</f>
        <v>-</v>
      </c>
      <c r="I436" s="17" t="str">
        <f t="shared" si="7"/>
        <v/>
      </c>
      <c r="J436" s="184"/>
      <c r="K436" s="87"/>
    </row>
    <row r="437" spans="3:11" hidden="1" outlineLevel="1" x14ac:dyDescent="0.3">
      <c r="C437" s="200">
        <v>32</v>
      </c>
      <c r="D437" s="75"/>
      <c r="E437" s="76"/>
      <c r="F437" s="77"/>
      <c r="G437" s="75"/>
      <c r="H437" s="178" t="str">
        <f>IF(COUNTA(D437:G437)=COLUMNS(D437:G437), IFERROR('Technical Sheet'!G33, "-"), "-")</f>
        <v>-</v>
      </c>
      <c r="I437" s="17" t="str">
        <f t="shared" si="7"/>
        <v/>
      </c>
      <c r="J437" s="184"/>
      <c r="K437" s="87"/>
    </row>
    <row r="438" spans="3:11" hidden="1" outlineLevel="1" x14ac:dyDescent="0.3">
      <c r="C438" s="199">
        <v>33</v>
      </c>
      <c r="D438" s="75"/>
      <c r="E438" s="76"/>
      <c r="F438" s="77"/>
      <c r="G438" s="75"/>
      <c r="H438" s="178" t="str">
        <f>IF(COUNTA(D438:G438)=COLUMNS(D438:G438), IFERROR('Technical Sheet'!G34, "-"), "-")</f>
        <v>-</v>
      </c>
      <c r="I438" s="17" t="str">
        <f t="shared" si="7"/>
        <v/>
      </c>
      <c r="J438" s="184"/>
      <c r="K438" s="87"/>
    </row>
    <row r="439" spans="3:11" hidden="1" outlineLevel="1" x14ac:dyDescent="0.3">
      <c r="C439" s="199">
        <v>34</v>
      </c>
      <c r="D439" s="75"/>
      <c r="E439" s="76"/>
      <c r="F439" s="77"/>
      <c r="G439" s="75"/>
      <c r="H439" s="178" t="str">
        <f>IF(COUNTA(D439:G439)=COLUMNS(D439:G439), IFERROR('Technical Sheet'!G35, "-"), "-")</f>
        <v>-</v>
      </c>
      <c r="I439" s="17" t="str">
        <f t="shared" ref="I439:I470" si="8">IF(AND(D439&lt;&gt;"", E439&lt;&gt;"", F439&lt;&gt;"", G439&lt;&gt;"", H439&lt;&gt;""), template_label_ok,
    IF(AND(D439="", E439="", F439="", G439="", H439="-"), "",
        template_label_missing_value
    )
)</f>
        <v/>
      </c>
      <c r="J439" s="184"/>
      <c r="K439" s="87"/>
    </row>
    <row r="440" spans="3:11" hidden="1" outlineLevel="1" x14ac:dyDescent="0.3">
      <c r="C440" s="200">
        <v>35</v>
      </c>
      <c r="D440" s="75"/>
      <c r="E440" s="76"/>
      <c r="F440" s="77"/>
      <c r="G440" s="75"/>
      <c r="H440" s="178" t="str">
        <f>IF(COUNTA(D440:G440)=COLUMNS(D440:G440), IFERROR('Technical Sheet'!G36, "-"), "-")</f>
        <v>-</v>
      </c>
      <c r="I440" s="17" t="str">
        <f t="shared" si="8"/>
        <v/>
      </c>
      <c r="J440" s="184"/>
      <c r="K440" s="87"/>
    </row>
    <row r="441" spans="3:11" hidden="1" outlineLevel="1" x14ac:dyDescent="0.3">
      <c r="C441" s="199">
        <v>36</v>
      </c>
      <c r="D441" s="75"/>
      <c r="E441" s="76"/>
      <c r="F441" s="77"/>
      <c r="G441" s="75"/>
      <c r="H441" s="178" t="str">
        <f>IF(COUNTA(D441:G441)=COLUMNS(D441:G441), IFERROR('Technical Sheet'!G37, "-"), "-")</f>
        <v>-</v>
      </c>
      <c r="I441" s="17" t="str">
        <f t="shared" si="8"/>
        <v/>
      </c>
      <c r="J441" s="184"/>
      <c r="K441" s="87"/>
    </row>
    <row r="442" spans="3:11" hidden="1" outlineLevel="1" x14ac:dyDescent="0.3">
      <c r="C442" s="199">
        <v>37</v>
      </c>
      <c r="D442" s="75"/>
      <c r="E442" s="76"/>
      <c r="F442" s="77"/>
      <c r="G442" s="75"/>
      <c r="H442" s="178" t="str">
        <f>IF(COUNTA(D442:G442)=COLUMNS(D442:G442), IFERROR('Technical Sheet'!G38, "-"), "-")</f>
        <v>-</v>
      </c>
      <c r="I442" s="17" t="str">
        <f t="shared" si="8"/>
        <v/>
      </c>
      <c r="J442" s="184"/>
      <c r="K442" s="87"/>
    </row>
    <row r="443" spans="3:11" hidden="1" outlineLevel="1" x14ac:dyDescent="0.3">
      <c r="C443" s="200">
        <v>38</v>
      </c>
      <c r="D443" s="75"/>
      <c r="E443" s="76"/>
      <c r="F443" s="77"/>
      <c r="G443" s="75"/>
      <c r="H443" s="178" t="str">
        <f>IF(COUNTA(D443:G443)=COLUMNS(D443:G443), IFERROR('Technical Sheet'!G39, "-"), "-")</f>
        <v>-</v>
      </c>
      <c r="I443" s="17" t="str">
        <f t="shared" si="8"/>
        <v/>
      </c>
      <c r="J443" s="184"/>
      <c r="K443" s="87"/>
    </row>
    <row r="444" spans="3:11" hidden="1" outlineLevel="1" x14ac:dyDescent="0.3">
      <c r="C444" s="199">
        <v>39</v>
      </c>
      <c r="D444" s="75"/>
      <c r="E444" s="76"/>
      <c r="F444" s="77"/>
      <c r="G444" s="75"/>
      <c r="H444" s="178" t="str">
        <f>IF(COUNTA(D444:G444)=COLUMNS(D444:G444), IFERROR('Technical Sheet'!G40, "-"), "-")</f>
        <v>-</v>
      </c>
      <c r="I444" s="17" t="str">
        <f t="shared" si="8"/>
        <v/>
      </c>
      <c r="J444" s="184"/>
      <c r="K444" s="87"/>
    </row>
    <row r="445" spans="3:11" hidden="1" outlineLevel="1" x14ac:dyDescent="0.3">
      <c r="C445" s="199">
        <v>40</v>
      </c>
      <c r="D445" s="75"/>
      <c r="E445" s="76"/>
      <c r="F445" s="77"/>
      <c r="G445" s="75"/>
      <c r="H445" s="178" t="str">
        <f>IF(COUNTA(D445:G445)=COLUMNS(D445:G445), IFERROR('Technical Sheet'!G41, "-"), "-")</f>
        <v>-</v>
      </c>
      <c r="I445" s="17" t="str">
        <f t="shared" si="8"/>
        <v/>
      </c>
      <c r="J445" s="184"/>
      <c r="K445" s="87"/>
    </row>
    <row r="446" spans="3:11" hidden="1" outlineLevel="1" x14ac:dyDescent="0.3">
      <c r="C446" s="200">
        <v>41</v>
      </c>
      <c r="D446" s="75"/>
      <c r="E446" s="76"/>
      <c r="F446" s="77"/>
      <c r="G446" s="75"/>
      <c r="H446" s="178" t="str">
        <f>IF(COUNTA(D446:G446)=COLUMNS(D446:G446), IFERROR('Technical Sheet'!G42, "-"), "-")</f>
        <v>-</v>
      </c>
      <c r="I446" s="17" t="str">
        <f t="shared" si="8"/>
        <v/>
      </c>
      <c r="J446" s="184"/>
      <c r="K446" s="87"/>
    </row>
    <row r="447" spans="3:11" hidden="1" outlineLevel="1" x14ac:dyDescent="0.3">
      <c r="C447" s="199">
        <v>42</v>
      </c>
      <c r="D447" s="75"/>
      <c r="E447" s="76"/>
      <c r="F447" s="77"/>
      <c r="G447" s="75"/>
      <c r="H447" s="178" t="str">
        <f>IF(COUNTA(D447:G447)=COLUMNS(D447:G447), IFERROR('Technical Sheet'!G43, "-"), "-")</f>
        <v>-</v>
      </c>
      <c r="I447" s="17" t="str">
        <f t="shared" si="8"/>
        <v/>
      </c>
      <c r="J447" s="184"/>
      <c r="K447" s="87"/>
    </row>
    <row r="448" spans="3:11" hidden="1" outlineLevel="1" x14ac:dyDescent="0.3">
      <c r="C448" s="199">
        <v>43</v>
      </c>
      <c r="D448" s="75"/>
      <c r="E448" s="76"/>
      <c r="F448" s="77"/>
      <c r="G448" s="75"/>
      <c r="H448" s="178" t="str">
        <f>IF(COUNTA(D448:G448)=COLUMNS(D448:G448), IFERROR('Technical Sheet'!G44, "-"), "-")</f>
        <v>-</v>
      </c>
      <c r="I448" s="17" t="str">
        <f t="shared" si="8"/>
        <v/>
      </c>
      <c r="J448" s="184"/>
      <c r="K448" s="87"/>
    </row>
    <row r="449" spans="3:11" hidden="1" outlineLevel="1" x14ac:dyDescent="0.3">
      <c r="C449" s="200">
        <v>44</v>
      </c>
      <c r="D449" s="75"/>
      <c r="E449" s="76"/>
      <c r="F449" s="77"/>
      <c r="G449" s="75"/>
      <c r="H449" s="178" t="str">
        <f>IF(COUNTA(D449:G449)=COLUMNS(D449:G449), IFERROR('Technical Sheet'!G45, "-"), "-")</f>
        <v>-</v>
      </c>
      <c r="I449" s="17" t="str">
        <f t="shared" si="8"/>
        <v/>
      </c>
      <c r="J449" s="184"/>
      <c r="K449" s="87"/>
    </row>
    <row r="450" spans="3:11" hidden="1" outlineLevel="1" x14ac:dyDescent="0.3">
      <c r="C450" s="199">
        <v>45</v>
      </c>
      <c r="D450" s="75"/>
      <c r="E450" s="76"/>
      <c r="F450" s="77"/>
      <c r="G450" s="75"/>
      <c r="H450" s="178" t="str">
        <f>IF(COUNTA(D450:G450)=COLUMNS(D450:G450), IFERROR('Technical Sheet'!G46, "-"), "-")</f>
        <v>-</v>
      </c>
      <c r="I450" s="17" t="str">
        <f t="shared" si="8"/>
        <v/>
      </c>
      <c r="J450" s="184"/>
      <c r="K450" s="87"/>
    </row>
    <row r="451" spans="3:11" hidden="1" outlineLevel="1" x14ac:dyDescent="0.3">
      <c r="C451" s="199">
        <v>46</v>
      </c>
      <c r="D451" s="75"/>
      <c r="E451" s="76"/>
      <c r="F451" s="77"/>
      <c r="G451" s="75"/>
      <c r="H451" s="178" t="str">
        <f>IF(COUNTA(D451:G451)=COLUMNS(D451:G451), IFERROR('Technical Sheet'!G47, "-"), "-")</f>
        <v>-</v>
      </c>
      <c r="I451" s="17" t="str">
        <f t="shared" si="8"/>
        <v/>
      </c>
      <c r="J451" s="184"/>
      <c r="K451" s="87"/>
    </row>
    <row r="452" spans="3:11" hidden="1" outlineLevel="1" x14ac:dyDescent="0.3">
      <c r="C452" s="200">
        <v>47</v>
      </c>
      <c r="D452" s="75"/>
      <c r="E452" s="76"/>
      <c r="F452" s="77"/>
      <c r="G452" s="75"/>
      <c r="H452" s="178" t="str">
        <f>IF(COUNTA(D452:G452)=COLUMNS(D452:G452), IFERROR('Technical Sheet'!G48, "-"), "-")</f>
        <v>-</v>
      </c>
      <c r="I452" s="17" t="str">
        <f t="shared" si="8"/>
        <v/>
      </c>
      <c r="J452" s="184"/>
      <c r="K452" s="87"/>
    </row>
    <row r="453" spans="3:11" hidden="1" outlineLevel="1" x14ac:dyDescent="0.3">
      <c r="C453" s="199">
        <v>48</v>
      </c>
      <c r="D453" s="75"/>
      <c r="E453" s="76"/>
      <c r="F453" s="77"/>
      <c r="G453" s="75"/>
      <c r="H453" s="178" t="str">
        <f>IF(COUNTA(D453:G453)=COLUMNS(D453:G453), IFERROR('Technical Sheet'!G49, "-"), "-")</f>
        <v>-</v>
      </c>
      <c r="I453" s="17" t="str">
        <f t="shared" si="8"/>
        <v/>
      </c>
      <c r="J453" s="184"/>
      <c r="K453" s="87"/>
    </row>
    <row r="454" spans="3:11" hidden="1" outlineLevel="1" x14ac:dyDescent="0.3">
      <c r="C454" s="199">
        <v>49</v>
      </c>
      <c r="D454" s="75"/>
      <c r="E454" s="76"/>
      <c r="F454" s="77"/>
      <c r="G454" s="75"/>
      <c r="H454" s="178" t="str">
        <f>IF(COUNTA(D454:G454)=COLUMNS(D454:G454), IFERROR('Technical Sheet'!G50, "-"), "-")</f>
        <v>-</v>
      </c>
      <c r="I454" s="17" t="str">
        <f t="shared" si="8"/>
        <v/>
      </c>
      <c r="J454" s="184"/>
      <c r="K454" s="87"/>
    </row>
    <row r="455" spans="3:11" hidden="1" outlineLevel="1" x14ac:dyDescent="0.3">
      <c r="C455" s="200">
        <v>50</v>
      </c>
      <c r="D455" s="75"/>
      <c r="E455" s="76"/>
      <c r="F455" s="77"/>
      <c r="G455" s="75"/>
      <c r="H455" s="178" t="str">
        <f>IF(COUNTA(D455:G455)=COLUMNS(D455:G455), IFERROR('Technical Sheet'!G51, "-"), "-")</f>
        <v>-</v>
      </c>
      <c r="I455" s="17" t="str">
        <f t="shared" si="8"/>
        <v/>
      </c>
      <c r="J455" s="184"/>
      <c r="K455" s="87"/>
    </row>
    <row r="456" spans="3:11" hidden="1" outlineLevel="1" x14ac:dyDescent="0.3">
      <c r="C456" s="199">
        <v>51</v>
      </c>
      <c r="D456" s="75"/>
      <c r="E456" s="76"/>
      <c r="F456" s="77"/>
      <c r="G456" s="75"/>
      <c r="H456" s="178" t="str">
        <f>IF(COUNTA(D456:G456)=COLUMNS(D456:G456), IFERROR('Technical Sheet'!G52, "-"), "-")</f>
        <v>-</v>
      </c>
      <c r="I456" s="17" t="str">
        <f t="shared" si="8"/>
        <v/>
      </c>
      <c r="J456" s="184"/>
      <c r="K456" s="87"/>
    </row>
    <row r="457" spans="3:11" hidden="1" outlineLevel="1" x14ac:dyDescent="0.3">
      <c r="C457" s="199">
        <v>52</v>
      </c>
      <c r="D457" s="75"/>
      <c r="E457" s="76"/>
      <c r="F457" s="77"/>
      <c r="G457" s="75"/>
      <c r="H457" s="178" t="str">
        <f>IF(COUNTA(D457:G457)=COLUMNS(D457:G457), IFERROR('Technical Sheet'!G53, "-"), "-")</f>
        <v>-</v>
      </c>
      <c r="I457" s="17" t="str">
        <f t="shared" si="8"/>
        <v/>
      </c>
      <c r="J457" s="184"/>
      <c r="K457" s="87"/>
    </row>
    <row r="458" spans="3:11" hidden="1" outlineLevel="1" x14ac:dyDescent="0.3">
      <c r="C458" s="200">
        <v>53</v>
      </c>
      <c r="D458" s="75"/>
      <c r="E458" s="76"/>
      <c r="F458" s="77"/>
      <c r="G458" s="75"/>
      <c r="H458" s="178" t="str">
        <f>IF(COUNTA(D458:G458)=COLUMNS(D458:G458), IFERROR('Technical Sheet'!G54, "-"), "-")</f>
        <v>-</v>
      </c>
      <c r="I458" s="17" t="str">
        <f t="shared" si="8"/>
        <v/>
      </c>
      <c r="J458" s="184"/>
      <c r="K458" s="87"/>
    </row>
    <row r="459" spans="3:11" hidden="1" outlineLevel="1" x14ac:dyDescent="0.3">
      <c r="C459" s="199">
        <v>54</v>
      </c>
      <c r="D459" s="75"/>
      <c r="E459" s="76"/>
      <c r="F459" s="77"/>
      <c r="G459" s="75"/>
      <c r="H459" s="178" t="str">
        <f>IF(COUNTA(D459:G459)=COLUMNS(D459:G459), IFERROR('Technical Sheet'!G55, "-"), "-")</f>
        <v>-</v>
      </c>
      <c r="I459" s="17" t="str">
        <f t="shared" si="8"/>
        <v/>
      </c>
      <c r="J459" s="184"/>
      <c r="K459" s="87"/>
    </row>
    <row r="460" spans="3:11" hidden="1" outlineLevel="1" x14ac:dyDescent="0.3">
      <c r="C460" s="199">
        <v>55</v>
      </c>
      <c r="D460" s="75"/>
      <c r="E460" s="76"/>
      <c r="F460" s="77"/>
      <c r="G460" s="75"/>
      <c r="H460" s="178" t="str">
        <f>IF(COUNTA(D460:G460)=COLUMNS(D460:G460), IFERROR('Technical Sheet'!G56, "-"), "-")</f>
        <v>-</v>
      </c>
      <c r="I460" s="17" t="str">
        <f t="shared" si="8"/>
        <v/>
      </c>
      <c r="J460" s="184"/>
      <c r="K460" s="87"/>
    </row>
    <row r="461" spans="3:11" hidden="1" outlineLevel="1" x14ac:dyDescent="0.3">
      <c r="C461" s="200">
        <v>56</v>
      </c>
      <c r="D461" s="75"/>
      <c r="E461" s="76"/>
      <c r="F461" s="77"/>
      <c r="G461" s="75"/>
      <c r="H461" s="178" t="str">
        <f>IF(COUNTA(D461:G461)=COLUMNS(D461:G461), IFERROR('Technical Sheet'!G57, "-"), "-")</f>
        <v>-</v>
      </c>
      <c r="I461" s="17" t="str">
        <f t="shared" si="8"/>
        <v/>
      </c>
      <c r="J461" s="184"/>
      <c r="K461" s="87"/>
    </row>
    <row r="462" spans="3:11" hidden="1" outlineLevel="1" x14ac:dyDescent="0.3">
      <c r="C462" s="199">
        <v>57</v>
      </c>
      <c r="D462" s="75"/>
      <c r="E462" s="76"/>
      <c r="F462" s="77"/>
      <c r="G462" s="75"/>
      <c r="H462" s="178" t="str">
        <f>IF(COUNTA(D462:G462)=COLUMNS(D462:G462), IFERROR('Technical Sheet'!G58, "-"), "-")</f>
        <v>-</v>
      </c>
      <c r="I462" s="17" t="str">
        <f t="shared" si="8"/>
        <v/>
      </c>
      <c r="J462" s="184"/>
      <c r="K462" s="87"/>
    </row>
    <row r="463" spans="3:11" hidden="1" outlineLevel="1" x14ac:dyDescent="0.3">
      <c r="C463" s="199">
        <v>58</v>
      </c>
      <c r="D463" s="75"/>
      <c r="E463" s="76"/>
      <c r="F463" s="77"/>
      <c r="G463" s="75"/>
      <c r="H463" s="178" t="str">
        <f>IF(COUNTA(D463:G463)=COLUMNS(D463:G463), IFERROR('Technical Sheet'!G59, "-"), "-")</f>
        <v>-</v>
      </c>
      <c r="I463" s="17" t="str">
        <f t="shared" si="8"/>
        <v/>
      </c>
      <c r="J463" s="184"/>
      <c r="K463" s="87"/>
    </row>
    <row r="464" spans="3:11" hidden="1" outlineLevel="1" x14ac:dyDescent="0.3">
      <c r="C464" s="200">
        <v>59</v>
      </c>
      <c r="D464" s="75"/>
      <c r="E464" s="76"/>
      <c r="F464" s="77"/>
      <c r="G464" s="75"/>
      <c r="H464" s="178" t="str">
        <f>IF(COUNTA(D464:G464)=COLUMNS(D464:G464), IFERROR('Technical Sheet'!G60, "-"), "-")</f>
        <v>-</v>
      </c>
      <c r="I464" s="17" t="str">
        <f t="shared" si="8"/>
        <v/>
      </c>
      <c r="J464" s="184"/>
      <c r="K464" s="87"/>
    </row>
    <row r="465" spans="3:11" hidden="1" outlineLevel="1" x14ac:dyDescent="0.3">
      <c r="C465" s="199">
        <v>60</v>
      </c>
      <c r="D465" s="75"/>
      <c r="E465" s="76"/>
      <c r="F465" s="77"/>
      <c r="G465" s="75"/>
      <c r="H465" s="178" t="str">
        <f>IF(COUNTA(D465:G465)=COLUMNS(D465:G465), IFERROR('Technical Sheet'!G61, "-"), "-")</f>
        <v>-</v>
      </c>
      <c r="I465" s="17" t="str">
        <f t="shared" si="8"/>
        <v/>
      </c>
      <c r="J465" s="184"/>
      <c r="K465" s="87"/>
    </row>
    <row r="466" spans="3:11" hidden="1" outlineLevel="1" x14ac:dyDescent="0.3">
      <c r="C466" s="199">
        <v>61</v>
      </c>
      <c r="D466" s="75"/>
      <c r="E466" s="76"/>
      <c r="F466" s="77"/>
      <c r="G466" s="75"/>
      <c r="H466" s="178" t="str">
        <f>IF(COUNTA(D466:G466)=COLUMNS(D466:G466), IFERROR('Technical Sheet'!G62, "-"), "-")</f>
        <v>-</v>
      </c>
      <c r="I466" s="17" t="str">
        <f t="shared" si="8"/>
        <v/>
      </c>
      <c r="J466" s="184"/>
      <c r="K466" s="87"/>
    </row>
    <row r="467" spans="3:11" hidden="1" outlineLevel="1" x14ac:dyDescent="0.3">
      <c r="C467" s="200">
        <v>62</v>
      </c>
      <c r="D467" s="75"/>
      <c r="E467" s="76"/>
      <c r="F467" s="77"/>
      <c r="G467" s="75"/>
      <c r="H467" s="178" t="str">
        <f>IF(COUNTA(D467:G467)=COLUMNS(D467:G467), IFERROR('Technical Sheet'!G63, "-"), "-")</f>
        <v>-</v>
      </c>
      <c r="I467" s="17" t="str">
        <f t="shared" si="8"/>
        <v/>
      </c>
      <c r="J467" s="184"/>
      <c r="K467" s="87"/>
    </row>
    <row r="468" spans="3:11" hidden="1" outlineLevel="1" x14ac:dyDescent="0.3">
      <c r="C468" s="199">
        <v>63</v>
      </c>
      <c r="D468" s="75"/>
      <c r="E468" s="76"/>
      <c r="F468" s="77"/>
      <c r="G468" s="75"/>
      <c r="H468" s="178" t="str">
        <f>IF(COUNTA(D468:G468)=COLUMNS(D468:G468), IFERROR('Technical Sheet'!G64, "-"), "-")</f>
        <v>-</v>
      </c>
      <c r="I468" s="17" t="str">
        <f t="shared" si="8"/>
        <v/>
      </c>
      <c r="J468" s="184"/>
      <c r="K468" s="87"/>
    </row>
    <row r="469" spans="3:11" hidden="1" outlineLevel="1" x14ac:dyDescent="0.3">
      <c r="C469" s="199">
        <v>64</v>
      </c>
      <c r="D469" s="75"/>
      <c r="E469" s="76"/>
      <c r="F469" s="77"/>
      <c r="G469" s="75"/>
      <c r="H469" s="178" t="str">
        <f>IF(COUNTA(D469:G469)=COLUMNS(D469:G469), IFERROR('Technical Sheet'!G65, "-"), "-")</f>
        <v>-</v>
      </c>
      <c r="I469" s="17" t="str">
        <f t="shared" si="8"/>
        <v/>
      </c>
      <c r="J469" s="184"/>
      <c r="K469" s="87"/>
    </row>
    <row r="470" spans="3:11" hidden="1" outlineLevel="1" x14ac:dyDescent="0.3">
      <c r="C470" s="200">
        <v>65</v>
      </c>
      <c r="D470" s="75"/>
      <c r="E470" s="76"/>
      <c r="F470" s="77"/>
      <c r="G470" s="75"/>
      <c r="H470" s="178" t="str">
        <f>IF(COUNTA(D470:G470)=COLUMNS(D470:G470), IFERROR('Technical Sheet'!G66, "-"), "-")</f>
        <v>-</v>
      </c>
      <c r="I470" s="17" t="str">
        <f t="shared" si="8"/>
        <v/>
      </c>
      <c r="J470" s="184"/>
      <c r="K470" s="87"/>
    </row>
    <row r="471" spans="3:11" hidden="1" outlineLevel="1" x14ac:dyDescent="0.3">
      <c r="C471" s="199">
        <v>66</v>
      </c>
      <c r="D471" s="75"/>
      <c r="E471" s="76"/>
      <c r="F471" s="77"/>
      <c r="G471" s="75"/>
      <c r="H471" s="178" t="str">
        <f>IF(COUNTA(D471:G471)=COLUMNS(D471:G471), IFERROR('Technical Sheet'!G67, "-"), "-")</f>
        <v>-</v>
      </c>
      <c r="I471" s="17" t="str">
        <f t="shared" ref="I471:I502" si="9">IF(AND(D471&lt;&gt;"", E471&lt;&gt;"", F471&lt;&gt;"", G471&lt;&gt;"", H471&lt;&gt;""), template_label_ok,
    IF(AND(D471="", E471="", F471="", G471="", H471="-"), "",
        template_label_missing_value
    )
)</f>
        <v/>
      </c>
      <c r="J471" s="184"/>
      <c r="K471" s="87"/>
    </row>
    <row r="472" spans="3:11" hidden="1" outlineLevel="1" x14ac:dyDescent="0.3">
      <c r="C472" s="199">
        <v>67</v>
      </c>
      <c r="D472" s="75"/>
      <c r="E472" s="76"/>
      <c r="F472" s="77"/>
      <c r="G472" s="75"/>
      <c r="H472" s="178" t="str">
        <f>IF(COUNTA(D472:G472)=COLUMNS(D472:G472), IFERROR('Technical Sheet'!G68, "-"), "-")</f>
        <v>-</v>
      </c>
      <c r="I472" s="17" t="str">
        <f t="shared" si="9"/>
        <v/>
      </c>
      <c r="J472" s="184"/>
      <c r="K472" s="87"/>
    </row>
    <row r="473" spans="3:11" hidden="1" outlineLevel="1" x14ac:dyDescent="0.3">
      <c r="C473" s="200">
        <v>68</v>
      </c>
      <c r="D473" s="75"/>
      <c r="E473" s="76"/>
      <c r="F473" s="77"/>
      <c r="G473" s="75"/>
      <c r="H473" s="178" t="str">
        <f>IF(COUNTA(D473:G473)=COLUMNS(D473:G473), IFERROR('Technical Sheet'!G69, "-"), "-")</f>
        <v>-</v>
      </c>
      <c r="I473" s="17" t="str">
        <f t="shared" si="9"/>
        <v/>
      </c>
      <c r="J473" s="184"/>
      <c r="K473" s="87"/>
    </row>
    <row r="474" spans="3:11" hidden="1" outlineLevel="1" x14ac:dyDescent="0.3">
      <c r="C474" s="199">
        <v>69</v>
      </c>
      <c r="D474" s="75"/>
      <c r="E474" s="76"/>
      <c r="F474" s="77"/>
      <c r="G474" s="75"/>
      <c r="H474" s="178" t="str">
        <f>IF(COUNTA(D474:G474)=COLUMNS(D474:G474), IFERROR('Technical Sheet'!G70, "-"), "-")</f>
        <v>-</v>
      </c>
      <c r="I474" s="17" t="str">
        <f t="shared" si="9"/>
        <v/>
      </c>
      <c r="J474" s="184"/>
      <c r="K474" s="87"/>
    </row>
    <row r="475" spans="3:11" hidden="1" outlineLevel="1" x14ac:dyDescent="0.3">
      <c r="C475" s="199">
        <v>70</v>
      </c>
      <c r="D475" s="75"/>
      <c r="E475" s="76"/>
      <c r="F475" s="77"/>
      <c r="G475" s="75"/>
      <c r="H475" s="178" t="str">
        <f>IF(COUNTA(D475:G475)=COLUMNS(D475:G475), IFERROR('Technical Sheet'!G71, "-"), "-")</f>
        <v>-</v>
      </c>
      <c r="I475" s="17" t="str">
        <f t="shared" si="9"/>
        <v/>
      </c>
      <c r="J475" s="184"/>
      <c r="K475" s="87"/>
    </row>
    <row r="476" spans="3:11" hidden="1" outlineLevel="1" x14ac:dyDescent="0.3">
      <c r="C476" s="200">
        <v>71</v>
      </c>
      <c r="D476" s="75"/>
      <c r="E476" s="76"/>
      <c r="F476" s="77"/>
      <c r="G476" s="75"/>
      <c r="H476" s="178" t="str">
        <f>IF(COUNTA(D476:G476)=COLUMNS(D476:G476), IFERROR('Technical Sheet'!G72, "-"), "-")</f>
        <v>-</v>
      </c>
      <c r="I476" s="17" t="str">
        <f t="shared" si="9"/>
        <v/>
      </c>
      <c r="J476" s="184"/>
      <c r="K476" s="87"/>
    </row>
    <row r="477" spans="3:11" hidden="1" outlineLevel="1" x14ac:dyDescent="0.3">
      <c r="C477" s="199">
        <v>72</v>
      </c>
      <c r="D477" s="75"/>
      <c r="E477" s="76"/>
      <c r="F477" s="77"/>
      <c r="G477" s="75"/>
      <c r="H477" s="178" t="str">
        <f>IF(COUNTA(D477:G477)=COLUMNS(D477:G477), IFERROR('Technical Sheet'!G73, "-"), "-")</f>
        <v>-</v>
      </c>
      <c r="I477" s="17" t="str">
        <f t="shared" si="9"/>
        <v/>
      </c>
      <c r="J477" s="184"/>
      <c r="K477" s="87"/>
    </row>
    <row r="478" spans="3:11" hidden="1" outlineLevel="1" x14ac:dyDescent="0.3">
      <c r="C478" s="199">
        <v>73</v>
      </c>
      <c r="D478" s="75"/>
      <c r="E478" s="76"/>
      <c r="F478" s="77"/>
      <c r="G478" s="75"/>
      <c r="H478" s="178" t="str">
        <f>IF(COUNTA(D478:G478)=COLUMNS(D478:G478), IFERROR('Technical Sheet'!G74, "-"), "-")</f>
        <v>-</v>
      </c>
      <c r="I478" s="17" t="str">
        <f t="shared" si="9"/>
        <v/>
      </c>
      <c r="J478" s="184"/>
      <c r="K478" s="87"/>
    </row>
    <row r="479" spans="3:11" hidden="1" outlineLevel="1" x14ac:dyDescent="0.3">
      <c r="C479" s="200">
        <v>74</v>
      </c>
      <c r="D479" s="75"/>
      <c r="E479" s="76"/>
      <c r="F479" s="77"/>
      <c r="G479" s="75"/>
      <c r="H479" s="178" t="str">
        <f>IF(COUNTA(D479:G479)=COLUMNS(D479:G479), IFERROR('Technical Sheet'!G75, "-"), "-")</f>
        <v>-</v>
      </c>
      <c r="I479" s="17" t="str">
        <f t="shared" si="9"/>
        <v/>
      </c>
      <c r="J479" s="184"/>
      <c r="K479" s="87"/>
    </row>
    <row r="480" spans="3:11" hidden="1" outlineLevel="1" x14ac:dyDescent="0.3">
      <c r="C480" s="199">
        <v>75</v>
      </c>
      <c r="D480" s="75"/>
      <c r="E480" s="76"/>
      <c r="F480" s="77"/>
      <c r="G480" s="75"/>
      <c r="H480" s="178" t="str">
        <f>IF(COUNTA(D480:G480)=COLUMNS(D480:G480), IFERROR('Technical Sheet'!G76, "-"), "-")</f>
        <v>-</v>
      </c>
      <c r="I480" s="17" t="str">
        <f t="shared" si="9"/>
        <v/>
      </c>
      <c r="J480" s="184"/>
      <c r="K480" s="87"/>
    </row>
    <row r="481" spans="3:11" hidden="1" outlineLevel="1" x14ac:dyDescent="0.3">
      <c r="C481" s="199">
        <v>76</v>
      </c>
      <c r="D481" s="75"/>
      <c r="E481" s="76"/>
      <c r="F481" s="77"/>
      <c r="G481" s="75"/>
      <c r="H481" s="178" t="str">
        <f>IF(COUNTA(D481:G481)=COLUMNS(D481:G481), IFERROR('Technical Sheet'!G77, "-"), "-")</f>
        <v>-</v>
      </c>
      <c r="I481" s="17" t="str">
        <f t="shared" si="9"/>
        <v/>
      </c>
      <c r="J481" s="184"/>
      <c r="K481" s="87"/>
    </row>
    <row r="482" spans="3:11" hidden="1" outlineLevel="1" x14ac:dyDescent="0.3">
      <c r="C482" s="200">
        <v>77</v>
      </c>
      <c r="D482" s="75"/>
      <c r="E482" s="76"/>
      <c r="F482" s="77"/>
      <c r="G482" s="75"/>
      <c r="H482" s="178" t="str">
        <f>IF(COUNTA(D482:G482)=COLUMNS(D482:G482), IFERROR('Technical Sheet'!G78, "-"), "-")</f>
        <v>-</v>
      </c>
      <c r="I482" s="17" t="str">
        <f t="shared" si="9"/>
        <v/>
      </c>
      <c r="J482" s="184"/>
      <c r="K482" s="87"/>
    </row>
    <row r="483" spans="3:11" hidden="1" outlineLevel="1" x14ac:dyDescent="0.3">
      <c r="C483" s="199">
        <v>78</v>
      </c>
      <c r="D483" s="75"/>
      <c r="E483" s="76"/>
      <c r="F483" s="77"/>
      <c r="G483" s="75"/>
      <c r="H483" s="178" t="str">
        <f>IF(COUNTA(D483:G483)=COLUMNS(D483:G483), IFERROR('Technical Sheet'!G79, "-"), "-")</f>
        <v>-</v>
      </c>
      <c r="I483" s="17" t="str">
        <f t="shared" si="9"/>
        <v/>
      </c>
      <c r="J483" s="184"/>
      <c r="K483" s="87"/>
    </row>
    <row r="484" spans="3:11" hidden="1" outlineLevel="1" x14ac:dyDescent="0.3">
      <c r="C484" s="199">
        <v>79</v>
      </c>
      <c r="D484" s="75"/>
      <c r="E484" s="76"/>
      <c r="F484" s="77"/>
      <c r="G484" s="75"/>
      <c r="H484" s="178" t="str">
        <f>IF(COUNTA(D484:G484)=COLUMNS(D484:G484), IFERROR('Technical Sheet'!G80, "-"), "-")</f>
        <v>-</v>
      </c>
      <c r="I484" s="17" t="str">
        <f t="shared" si="9"/>
        <v/>
      </c>
      <c r="J484" s="184"/>
      <c r="K484" s="87"/>
    </row>
    <row r="485" spans="3:11" hidden="1" outlineLevel="1" x14ac:dyDescent="0.3">
      <c r="C485" s="200">
        <v>80</v>
      </c>
      <c r="D485" s="75"/>
      <c r="E485" s="76"/>
      <c r="F485" s="77"/>
      <c r="G485" s="75"/>
      <c r="H485" s="178" t="str">
        <f>IF(COUNTA(D485:G485)=COLUMNS(D485:G485), IFERROR('Technical Sheet'!G81, "-"), "-")</f>
        <v>-</v>
      </c>
      <c r="I485" s="17" t="str">
        <f t="shared" si="9"/>
        <v/>
      </c>
      <c r="J485" s="184"/>
      <c r="K485" s="87"/>
    </row>
    <row r="486" spans="3:11" hidden="1" outlineLevel="1" x14ac:dyDescent="0.3">
      <c r="C486" s="199">
        <v>81</v>
      </c>
      <c r="D486" s="75"/>
      <c r="E486" s="76"/>
      <c r="F486" s="77"/>
      <c r="G486" s="75"/>
      <c r="H486" s="178" t="str">
        <f>IF(COUNTA(D486:G486)=COLUMNS(D486:G486), IFERROR('Technical Sheet'!G82, "-"), "-")</f>
        <v>-</v>
      </c>
      <c r="I486" s="17" t="str">
        <f t="shared" si="9"/>
        <v/>
      </c>
      <c r="J486" s="184"/>
      <c r="K486" s="87"/>
    </row>
    <row r="487" spans="3:11" hidden="1" outlineLevel="1" x14ac:dyDescent="0.3">
      <c r="C487" s="199">
        <v>82</v>
      </c>
      <c r="D487" s="75"/>
      <c r="E487" s="76"/>
      <c r="F487" s="77"/>
      <c r="G487" s="75"/>
      <c r="H487" s="178" t="str">
        <f>IF(COUNTA(D487:G487)=COLUMNS(D487:G487), IFERROR('Technical Sheet'!G83, "-"), "-")</f>
        <v>-</v>
      </c>
      <c r="I487" s="17" t="str">
        <f t="shared" si="9"/>
        <v/>
      </c>
      <c r="J487" s="184"/>
      <c r="K487" s="87"/>
    </row>
    <row r="488" spans="3:11" hidden="1" outlineLevel="1" x14ac:dyDescent="0.3">
      <c r="C488" s="200">
        <v>83</v>
      </c>
      <c r="D488" s="75"/>
      <c r="E488" s="76"/>
      <c r="F488" s="77"/>
      <c r="G488" s="75"/>
      <c r="H488" s="178" t="str">
        <f>IF(COUNTA(D488:G488)=COLUMNS(D488:G488), IFERROR('Technical Sheet'!G84, "-"), "-")</f>
        <v>-</v>
      </c>
      <c r="I488" s="17" t="str">
        <f t="shared" si="9"/>
        <v/>
      </c>
      <c r="J488" s="184"/>
      <c r="K488" s="87"/>
    </row>
    <row r="489" spans="3:11" hidden="1" outlineLevel="1" x14ac:dyDescent="0.3">
      <c r="C489" s="199">
        <v>84</v>
      </c>
      <c r="D489" s="75"/>
      <c r="E489" s="76"/>
      <c r="F489" s="77"/>
      <c r="G489" s="75"/>
      <c r="H489" s="178" t="str">
        <f>IF(COUNTA(D489:G489)=COLUMNS(D489:G489), IFERROR('Technical Sheet'!G85, "-"), "-")</f>
        <v>-</v>
      </c>
      <c r="I489" s="17" t="str">
        <f t="shared" si="9"/>
        <v/>
      </c>
      <c r="J489" s="184"/>
      <c r="K489" s="87"/>
    </row>
    <row r="490" spans="3:11" hidden="1" outlineLevel="1" x14ac:dyDescent="0.3">
      <c r="C490" s="199">
        <v>85</v>
      </c>
      <c r="D490" s="75"/>
      <c r="E490" s="76"/>
      <c r="F490" s="77"/>
      <c r="G490" s="75"/>
      <c r="H490" s="178" t="str">
        <f>IF(COUNTA(D490:G490)=COLUMNS(D490:G490), IFERROR('Technical Sheet'!G86, "-"), "-")</f>
        <v>-</v>
      </c>
      <c r="I490" s="17" t="str">
        <f t="shared" si="9"/>
        <v/>
      </c>
      <c r="J490" s="184"/>
      <c r="K490" s="87"/>
    </row>
    <row r="491" spans="3:11" hidden="1" outlineLevel="1" x14ac:dyDescent="0.3">
      <c r="C491" s="200">
        <v>86</v>
      </c>
      <c r="D491" s="75"/>
      <c r="E491" s="76"/>
      <c r="F491" s="77"/>
      <c r="G491" s="75"/>
      <c r="H491" s="178" t="str">
        <f>IF(COUNTA(D491:G491)=COLUMNS(D491:G491), IFERROR('Technical Sheet'!G87, "-"), "-")</f>
        <v>-</v>
      </c>
      <c r="I491" s="17" t="str">
        <f t="shared" si="9"/>
        <v/>
      </c>
      <c r="J491" s="184"/>
      <c r="K491" s="87"/>
    </row>
    <row r="492" spans="3:11" hidden="1" outlineLevel="1" x14ac:dyDescent="0.3">
      <c r="C492" s="199">
        <v>87</v>
      </c>
      <c r="D492" s="75"/>
      <c r="E492" s="76"/>
      <c r="F492" s="77"/>
      <c r="G492" s="75"/>
      <c r="H492" s="178" t="str">
        <f>IF(COUNTA(D492:G492)=COLUMNS(D492:G492), IFERROR('Technical Sheet'!G88, "-"), "-")</f>
        <v>-</v>
      </c>
      <c r="I492" s="17" t="str">
        <f t="shared" si="9"/>
        <v/>
      </c>
      <c r="J492" s="184"/>
      <c r="K492" s="87"/>
    </row>
    <row r="493" spans="3:11" hidden="1" outlineLevel="1" x14ac:dyDescent="0.3">
      <c r="C493" s="199">
        <v>88</v>
      </c>
      <c r="D493" s="75"/>
      <c r="E493" s="76"/>
      <c r="F493" s="77"/>
      <c r="G493" s="75"/>
      <c r="H493" s="178" t="str">
        <f>IF(COUNTA(D493:G493)=COLUMNS(D493:G493), IFERROR('Technical Sheet'!G89, "-"), "-")</f>
        <v>-</v>
      </c>
      <c r="I493" s="17" t="str">
        <f t="shared" si="9"/>
        <v/>
      </c>
      <c r="J493" s="184"/>
      <c r="K493" s="87"/>
    </row>
    <row r="494" spans="3:11" hidden="1" outlineLevel="1" x14ac:dyDescent="0.3">
      <c r="C494" s="200">
        <v>89</v>
      </c>
      <c r="D494" s="75"/>
      <c r="E494" s="76"/>
      <c r="F494" s="77"/>
      <c r="G494" s="75"/>
      <c r="H494" s="178" t="str">
        <f>IF(COUNTA(D494:G494)=COLUMNS(D494:G494), IFERROR('Technical Sheet'!G90, "-"), "-")</f>
        <v>-</v>
      </c>
      <c r="I494" s="17" t="str">
        <f t="shared" si="9"/>
        <v/>
      </c>
      <c r="J494" s="184"/>
      <c r="K494" s="87"/>
    </row>
    <row r="495" spans="3:11" hidden="1" outlineLevel="1" x14ac:dyDescent="0.3">
      <c r="C495" s="199">
        <v>90</v>
      </c>
      <c r="D495" s="75"/>
      <c r="E495" s="76"/>
      <c r="F495" s="77"/>
      <c r="G495" s="75"/>
      <c r="H495" s="178" t="str">
        <f>IF(COUNTA(D495:G495)=COLUMNS(D495:G495), IFERROR('Technical Sheet'!G91, "-"), "-")</f>
        <v>-</v>
      </c>
      <c r="I495" s="17" t="str">
        <f t="shared" si="9"/>
        <v/>
      </c>
      <c r="J495" s="184"/>
      <c r="K495" s="87"/>
    </row>
    <row r="496" spans="3:11" hidden="1" outlineLevel="1" x14ac:dyDescent="0.3">
      <c r="C496" s="199">
        <v>91</v>
      </c>
      <c r="D496" s="75"/>
      <c r="E496" s="76"/>
      <c r="F496" s="77"/>
      <c r="G496" s="75"/>
      <c r="H496" s="178" t="str">
        <f>IF(COUNTA(D496:G496)=COLUMNS(D496:G496), IFERROR('Technical Sheet'!G92, "-"), "-")</f>
        <v>-</v>
      </c>
      <c r="I496" s="17" t="str">
        <f t="shared" si="9"/>
        <v/>
      </c>
      <c r="J496" s="184"/>
      <c r="K496" s="87"/>
    </row>
    <row r="497" spans="3:17" hidden="1" outlineLevel="1" x14ac:dyDescent="0.3">
      <c r="C497" s="200">
        <v>92</v>
      </c>
      <c r="D497" s="75"/>
      <c r="E497" s="76"/>
      <c r="F497" s="77"/>
      <c r="G497" s="75"/>
      <c r="H497" s="178" t="str">
        <f>IF(COUNTA(D497:G497)=COLUMNS(D497:G497), IFERROR('Technical Sheet'!G93, "-"), "-")</f>
        <v>-</v>
      </c>
      <c r="I497" s="17" t="str">
        <f t="shared" si="9"/>
        <v/>
      </c>
      <c r="J497" s="184"/>
      <c r="K497" s="87"/>
    </row>
    <row r="498" spans="3:17" hidden="1" outlineLevel="1" x14ac:dyDescent="0.3">
      <c r="C498" s="199">
        <v>93</v>
      </c>
      <c r="D498" s="75"/>
      <c r="E498" s="76"/>
      <c r="F498" s="77"/>
      <c r="G498" s="75"/>
      <c r="H498" s="178" t="str">
        <f>IF(COUNTA(D498:G498)=COLUMNS(D498:G498), IFERROR('Technical Sheet'!G94, "-"), "-")</f>
        <v>-</v>
      </c>
      <c r="I498" s="17" t="str">
        <f t="shared" si="9"/>
        <v/>
      </c>
      <c r="J498" s="184"/>
      <c r="K498" s="87"/>
    </row>
    <row r="499" spans="3:17" hidden="1" outlineLevel="1" x14ac:dyDescent="0.3">
      <c r="C499" s="199">
        <v>94</v>
      </c>
      <c r="D499" s="75"/>
      <c r="E499" s="76"/>
      <c r="F499" s="77"/>
      <c r="G499" s="75"/>
      <c r="H499" s="178" t="str">
        <f>IF(COUNTA(D499:G499)=COLUMNS(D499:G499), IFERROR('Technical Sheet'!G95, "-"), "-")</f>
        <v>-</v>
      </c>
      <c r="I499" s="17" t="str">
        <f t="shared" si="9"/>
        <v/>
      </c>
      <c r="J499" s="184"/>
      <c r="K499" s="87"/>
    </row>
    <row r="500" spans="3:17" hidden="1" outlineLevel="1" x14ac:dyDescent="0.3">
      <c r="C500" s="200">
        <v>95</v>
      </c>
      <c r="D500" s="75"/>
      <c r="E500" s="76"/>
      <c r="F500" s="77"/>
      <c r="G500" s="75"/>
      <c r="H500" s="178" t="str">
        <f>IF(COUNTA(D500:G500)=COLUMNS(D500:G500), IFERROR('Technical Sheet'!G96, "-"), "-")</f>
        <v>-</v>
      </c>
      <c r="I500" s="17" t="str">
        <f t="shared" si="9"/>
        <v/>
      </c>
      <c r="J500" s="184"/>
      <c r="K500" s="87"/>
    </row>
    <row r="501" spans="3:17" hidden="1" outlineLevel="1" x14ac:dyDescent="0.3">
      <c r="C501" s="199">
        <v>96</v>
      </c>
      <c r="D501" s="75"/>
      <c r="E501" s="76"/>
      <c r="F501" s="77"/>
      <c r="G501" s="75"/>
      <c r="H501" s="178" t="str">
        <f>IF(COUNTA(D501:G501)=COLUMNS(D501:G501), IFERROR('Technical Sheet'!G97, "-"), "-")</f>
        <v>-</v>
      </c>
      <c r="I501" s="17" t="str">
        <f t="shared" si="9"/>
        <v/>
      </c>
      <c r="J501" s="184"/>
      <c r="K501" s="87"/>
    </row>
    <row r="502" spans="3:17" hidden="1" outlineLevel="1" x14ac:dyDescent="0.3">
      <c r="C502" s="199">
        <v>97</v>
      </c>
      <c r="D502" s="75"/>
      <c r="E502" s="76"/>
      <c r="F502" s="77"/>
      <c r="G502" s="75"/>
      <c r="H502" s="178" t="str">
        <f>IF(COUNTA(D502:G502)=COLUMNS(D502:G502), IFERROR('Technical Sheet'!G98, "-"), "-")</f>
        <v>-</v>
      </c>
      <c r="I502" s="17" t="str">
        <f t="shared" si="9"/>
        <v/>
      </c>
      <c r="J502" s="184"/>
      <c r="K502" s="87"/>
    </row>
    <row r="503" spans="3:17" hidden="1" outlineLevel="1" x14ac:dyDescent="0.3">
      <c r="C503" s="200">
        <v>98</v>
      </c>
      <c r="D503" s="75"/>
      <c r="E503" s="76"/>
      <c r="F503" s="77"/>
      <c r="G503" s="75"/>
      <c r="H503" s="178" t="str">
        <f>IF(COUNTA(D503:G503)=COLUMNS(D503:G503), IFERROR('Technical Sheet'!G99, "-"), "-")</f>
        <v>-</v>
      </c>
      <c r="I503" s="17" t="str">
        <f t="shared" ref="I503:I505" si="10">IF(AND(D503&lt;&gt;"", E503&lt;&gt;"", F503&lt;&gt;"", G503&lt;&gt;"", H503&lt;&gt;""), template_label_ok,
    IF(AND(D503="", E503="", F503="", G503="", H503="-"), "",
        template_label_missing_value
    )
)</f>
        <v/>
      </c>
      <c r="J503" s="184"/>
      <c r="K503" s="87"/>
    </row>
    <row r="504" spans="3:17" hidden="1" outlineLevel="1" x14ac:dyDescent="0.3">
      <c r="C504" s="199">
        <v>99</v>
      </c>
      <c r="D504" s="75"/>
      <c r="E504" s="76"/>
      <c r="F504" s="77"/>
      <c r="G504" s="75"/>
      <c r="H504" s="178" t="str">
        <f>IF(COUNTA(D504:G504)=COLUMNS(D504:G504), IFERROR('Technical Sheet'!G100, "-"), "-")</f>
        <v>-</v>
      </c>
      <c r="I504" s="17" t="str">
        <f t="shared" si="10"/>
        <v/>
      </c>
      <c r="J504" s="184" t="str">
        <f>IF(AND(D504&lt;&gt;"", E504&lt;&gt;"", F504&lt;&gt;"", G504&lt;&gt;""),
    IFERROR(HYPERLINK("https://www.openstreetmap.org/search?lat=" &amp; 'Technical Sheet'!#REF! &amp; "&amp;lon=" &amp; 'Technical Sheet'!#REF!, "OpenStreetMap Link"),
    ""),
"")</f>
        <v/>
      </c>
      <c r="K504" s="87" t="str">
        <f>LOWER(SUBSTITUTE(D504," ","+" )) &amp; "+" &amp; LOWER(SUBSTITUTE(E504," ","+" )) &amp; "+" &amp; LOWER(SUBSTITUTE(F504," ","+" )) &amp; "+" &amp; LOWER(SUBSTITUTE(G504," ","+" )) &amp; "+"</f>
        <v>++++</v>
      </c>
    </row>
    <row r="505" spans="3:17" ht="15" hidden="1" outlineLevel="1" thickBot="1" x14ac:dyDescent="0.35">
      <c r="C505" s="201">
        <v>100</v>
      </c>
      <c r="D505" s="72"/>
      <c r="E505" s="73"/>
      <c r="F505" s="74"/>
      <c r="G505" s="72"/>
      <c r="H505" s="350" t="str">
        <f>IF(COUNTA(D505:G505)=COLUMNS(D505:G505), IFERROR('Technical Sheet'!G101, "-"), "-")</f>
        <v>-</v>
      </c>
      <c r="I505" s="17" t="str">
        <f t="shared" si="10"/>
        <v/>
      </c>
      <c r="J505" s="184" t="str">
        <f>IF(AND(D505&lt;&gt;"", E505&lt;&gt;"", F505&lt;&gt;"", G505&lt;&gt;""),
    IFERROR(HYPERLINK("https://www.openstreetmap.org/search?lat=" &amp; 'Technical Sheet'!#REF! &amp; "&amp;lon=" &amp; 'Technical Sheet'!#REF!, "OpenStreetMap Link"),
    ""),
"")</f>
        <v/>
      </c>
      <c r="K505" s="87" t="str">
        <f>LOWER(SUBSTITUTE(D505," ","+" )) &amp; "+" &amp; LOWER(SUBSTITUTE(E505," ","+" )) &amp; "+" &amp; LOWER(SUBSTITUTE(F505," ","+" )) &amp; "+" &amp; LOWER(SUBSTITUTE(G505," ","+" )) &amp; "+"</f>
        <v>++++</v>
      </c>
    </row>
    <row r="506" spans="3:17" ht="15" customHeight="1" collapsed="1" thickBot="1" x14ac:dyDescent="0.35"/>
    <row r="507" spans="3:17" ht="38.1" customHeight="1" thickBot="1" x14ac:dyDescent="0.35">
      <c r="C507" s="661" t="str">
        <f xml:space="preserve"> template_label_b2_practices_policies_and_future_initiatives_for_transitioning_towards_a_more_sustainable_economy &amp; " " &amp; template_label_from &amp; " " &amp; template_starting_date_display &amp; " " &amp; template_label_to &amp; " " &amp; template_ending_date_display &amp; " " &amp; template_label_if_applicable</f>
        <v>B2 – Pratiques, politiques et initiatives futures en vue de la transition vers une économie plus durable du - au - [Le cas échéant]</v>
      </c>
      <c r="D507" s="661"/>
      <c r="E507" s="661"/>
      <c r="F507" s="661"/>
      <c r="G507" s="661"/>
      <c r="H507" s="661"/>
      <c r="I507" s="661"/>
      <c r="J507" s="661"/>
      <c r="K507" s="661"/>
      <c r="L507" s="661"/>
      <c r="M507" s="661"/>
      <c r="N507" s="661"/>
      <c r="O507" s="662"/>
    </row>
    <row r="508" spans="3:17" s="10" customFormat="1" x14ac:dyDescent="0.3">
      <c r="C508" s="636" t="s">
        <v>24</v>
      </c>
      <c r="D508" s="636"/>
      <c r="E508" s="636"/>
      <c r="F508" s="636"/>
      <c r="G508" s="636"/>
      <c r="H508" s="636"/>
      <c r="I508" s="636"/>
      <c r="J508" s="636"/>
      <c r="K508" s="636"/>
      <c r="L508" s="636"/>
      <c r="M508" s="636"/>
      <c r="N508" s="636"/>
      <c r="O508" s="637"/>
      <c r="P508"/>
      <c r="Q508"/>
    </row>
    <row r="509" spans="3:17" x14ac:dyDescent="0.3">
      <c r="C509" s="653" t="s">
        <v>25</v>
      </c>
      <c r="D509" s="656"/>
      <c r="E509" s="656"/>
      <c r="F509" s="656"/>
      <c r="G509" s="656"/>
      <c r="H509" s="656"/>
      <c r="I509" s="656"/>
      <c r="J509" s="656"/>
      <c r="K509" s="656"/>
      <c r="L509" s="656"/>
      <c r="M509" s="656"/>
      <c r="N509" s="656"/>
      <c r="O509" s="657"/>
    </row>
    <row r="510" spans="3:17" ht="14.4" customHeight="1" x14ac:dyDescent="0.3">
      <c r="C510" s="717" t="str">
        <f>template_label_has_the_undertaking_put_in_place_specific_practices_policies_and_or_future</f>
        <v>L’entreprise a-t-elle mis en place des pratiques, des politiques ou des initiatives futures spécifiques en vue de la transition vers une économie plus durable ?</v>
      </c>
      <c r="D510" s="663" t="str">
        <f>template_label_sustainability_issues_addressed_by_a_practice_policy_and_or_future_initiatives_put_in_place</f>
        <v>Enjeux de durabilité traités par des pratiques, politiques, et/ou initiatives futures mises en place par l’entreprise</v>
      </c>
      <c r="E510" s="663"/>
      <c r="F510" s="663"/>
      <c r="G510" s="663"/>
      <c r="H510" s="663"/>
      <c r="I510" s="663"/>
      <c r="J510" s="663"/>
      <c r="K510" s="663"/>
      <c r="L510" s="663"/>
      <c r="M510" s="663"/>
      <c r="N510" s="663" t="str">
        <f>template_label_undertaking_has_a_practice_policy_and_or_future_initiative_that_is_publicly_available</f>
        <v>L'entreprise dispose d'une pratique, d'une politique et/ou d'une initiative future qui est accessible au public.</v>
      </c>
      <c r="O510" s="664" t="str">
        <f>template_label_undertaking_has_set_a_target_which_is_related_to_a_policy</f>
        <v xml:space="preserve">L’entreprise a fixé une cible qui est liée à une politique. </v>
      </c>
    </row>
    <row r="511" spans="3:17" ht="41.4" customHeight="1" x14ac:dyDescent="0.3">
      <c r="C511" s="717"/>
      <c r="D511" s="79" t="str">
        <f>template_label_climate_change</f>
        <v>Changement climatique</v>
      </c>
      <c r="E511" s="79" t="str">
        <f>template_label_pollution</f>
        <v>Pollution</v>
      </c>
      <c r="F511" s="79" t="str">
        <f>template_label_water_and_marine_resources</f>
        <v>Ressources hydriques et marines</v>
      </c>
      <c r="G511" s="79" t="str">
        <f>template_label_biodiversity_and_ecosystems</f>
        <v>Biodiversité et écosystèmes</v>
      </c>
      <c r="H511" s="79" t="str">
        <f>template_label_circular_economy</f>
        <v>Économie circulaire</v>
      </c>
      <c r="I511" s="79" t="str">
        <f>template_label_own_workforce</f>
        <v>Personnel de l'entreprise</v>
      </c>
      <c r="J511" s="79" t="str">
        <f>template_label_workers_in_the_value_chain</f>
        <v>Travailleurs de la chaîne de valeur</v>
      </c>
      <c r="K511" s="79" t="str">
        <f>template_label_affected_communities</f>
        <v>Communautés affectées</v>
      </c>
      <c r="L511" s="79" t="str">
        <f>template_label_consumers_and_endusers_validation</f>
        <v>Consommateurs et utilisateurs finaux</v>
      </c>
      <c r="M511" s="79" t="str">
        <f>template_label_business_conduct</f>
        <v>Conduite des affaires</v>
      </c>
      <c r="N511" s="663"/>
      <c r="O511" s="664"/>
    </row>
    <row r="512" spans="3:17" ht="15" thickBot="1" x14ac:dyDescent="0.35">
      <c r="C512" s="177" t="b">
        <v>0</v>
      </c>
      <c r="D512" s="176" t="b">
        <v>0</v>
      </c>
      <c r="E512" s="176" t="b">
        <v>0</v>
      </c>
      <c r="F512" s="176" t="b">
        <v>0</v>
      </c>
      <c r="G512" s="176" t="b">
        <v>0</v>
      </c>
      <c r="H512" s="176" t="b">
        <v>0</v>
      </c>
      <c r="I512" s="176" t="b">
        <v>0</v>
      </c>
      <c r="J512" s="176" t="b">
        <v>0</v>
      </c>
      <c r="K512" s="176" t="b">
        <v>0</v>
      </c>
      <c r="L512" s="176" t="b">
        <v>0</v>
      </c>
      <c r="M512" s="176" t="b">
        <v>0</v>
      </c>
      <c r="N512" s="475"/>
      <c r="O512" s="476"/>
      <c r="P512" s="16" t="str">
        <f>IF(C512=TRUE, IF(COUNTIF(D512:M512, TRUE)&gt;0, template_label_ok, template_label_missing_value), "")</f>
        <v/>
      </c>
    </row>
    <row r="513" spans="1:8" ht="57.45" customHeight="1" thickBot="1" x14ac:dyDescent="0.35">
      <c r="F513"/>
    </row>
    <row r="514" spans="1:8" ht="15" thickBot="1" x14ac:dyDescent="0.35">
      <c r="C514" s="718" t="str">
        <f xml:space="preserve"> template_label_b2_cooperative_specific_disclosures &amp; " " &amp; template_label_from &amp; " " &amp; template_starting_date_display &amp; " " &amp; template_label_to &amp; " " &amp; template_ending_date_display &amp; " " &amp; template_label_if_applicable</f>
        <v>B2 - Divulgations propres aux coopératives du - au - [Le cas échéant]</v>
      </c>
      <c r="D514" s="719"/>
      <c r="F514"/>
    </row>
    <row r="515" spans="1:8" x14ac:dyDescent="0.3">
      <c r="C515" s="636">
        <v>15</v>
      </c>
      <c r="D515" s="637"/>
      <c r="F515"/>
    </row>
    <row r="516" spans="1:8" ht="30.6" customHeight="1" x14ac:dyDescent="0.3">
      <c r="C516" s="111" t="str">
        <f>template_label_effective_participation_of_workers_users_or_other_interested_parties_or_communities_in_governance</f>
        <v>Participation effective des travailleurs, des utilisateurs ou d'autres parties ou communautés intéressées à la gouvernance</v>
      </c>
      <c r="D516" s="250"/>
      <c r="E516" s="16" t="str">
        <f>IF(AND(D516&lt;&gt;"", UndertakingsLegalForm="cooperative"), template_label_ok, "")</f>
        <v/>
      </c>
      <c r="F516"/>
    </row>
    <row r="517" spans="1:8" ht="57" customHeight="1" x14ac:dyDescent="0.3">
      <c r="C517" s="111" t="str">
        <f>template_label_financial_investment_in_the_capital_or_assets_of_social_economy_entities</f>
        <v>Investissements financiers dans le capital ou les actifs des entités de l’économie sociale visées par la recommandation du Conseil du 29 septembre 2023 (à l’exclusion des dons et contributions)</v>
      </c>
      <c r="D517" s="251"/>
      <c r="E517" s="16" t="str">
        <f>IF(AND(D517&lt;&gt;"", UndertakingsLegalForm="cooperative"), template_label_ok, "")</f>
        <v/>
      </c>
      <c r="F517"/>
    </row>
    <row r="518" spans="1:8" ht="47.4" customHeight="1" thickBot="1" x14ac:dyDescent="0.35">
      <c r="C518" s="100" t="str">
        <f>template_label_limits_to_the_distribution_of_profits</f>
        <v>Limites à la distribution des bénéfices du fait du caractère mutualiste ou de la nature des activités exercées valant services d’intérêt économique général</v>
      </c>
      <c r="D518" s="466"/>
      <c r="E518" s="16" t="str">
        <f>IF(AND(D518&lt;&gt;"", UndertakingsLegalForm="cooperative"), template_label_ok, "")</f>
        <v/>
      </c>
      <c r="F518"/>
    </row>
    <row r="519" spans="1:8" ht="49.95" customHeight="1" thickBot="1" x14ac:dyDescent="0.35">
      <c r="C519" s="12"/>
      <c r="F519"/>
    </row>
    <row r="520" spans="1:8" ht="87.6" customHeight="1" thickBot="1" x14ac:dyDescent="0.35">
      <c r="A520" s="714" t="str">
        <f>template_label_supporting_guidance_c2</f>
        <v>ℹ️ Directives de soutien VSME sur la divulgation C2 - Module complet (Pratiques, politiques et initiatives futures)</v>
      </c>
      <c r="B520" s="714"/>
      <c r="C520" s="648" t="str">
        <f>template_label_c2_description_of_practices_policies_and_future_initiatives_for_transitioning_towards_a_more_sustainable_economy&amp; " " &amp; template_label_from &amp; " " &amp; template_starting_date_display &amp; " " &amp; template_label_to &amp; " " &amp; template_ending_date_display &amp; " " &amp; template_label_if_applicable_linked_to_b2</f>
        <v>C2 – Description des pratiques, politiques et initiatives futures en vue de la transition vers une économie plus durable du - au - [S'il y a lieu, lié à B2]</v>
      </c>
      <c r="D520" s="715"/>
      <c r="E520" s="715"/>
      <c r="F520" s="715"/>
      <c r="G520" s="716"/>
    </row>
    <row r="521" spans="1:8" ht="37.950000000000003" customHeight="1" x14ac:dyDescent="0.3">
      <c r="A521" s="381">
        <v>48</v>
      </c>
      <c r="B521" s="382">
        <v>149</v>
      </c>
      <c r="C521" s="726" t="str">
        <f>template_label_description_of_a_practice_policy_and_or_future_initiative_towards_a_more_sustainable_future</f>
        <v>Description d'une pratique, d'une politique et/ou d'une initiative future en vue d'un avenir plus durable (Si la pratique, la politique ou l'initiative future concerne des fournisseurs ou des clients, l'entreprise doit le mentionner)</v>
      </c>
      <c r="D521" s="726"/>
      <c r="E521" s="720"/>
      <c r="F521" s="720"/>
      <c r="G521" s="721"/>
      <c r="H521" s="16" t="str">
        <f>IF(
'Table of Contents &amp; Validation'!D51=TRUE,
IF(AND(BasisForPreparation="Option B (Basic Module and Comprehensive Module)", C512=TRUE, DescriptionOfPracticesPoliciesAndOrFutureInitiatives=""), "",
IF(AND(BasisForPreparation="Option B (Basic Module and Comprehensive Module)", C512=TRUE, DescriptionOfPracticesPoliciesAndOrFutureInitiatives&lt;&gt;""), template_label_ok,
IF(AND(BasisForPreparation="Option A (Basic Module only)", E521&lt;&gt;""), template_label_ok, ""))),
IF(AND(BasisForPreparation="Option B (Basic Module and Comprehensive Module)", C512=TRUE, DescriptionOfPracticesPoliciesAndOrFutureInitiatives=""), template_label_missing_value,
IF(AND(BasisForPreparation="Option B (Basic Module and Comprehensive Module)", C512=TRUE, DescriptionOfPracticesPoliciesAndOrFutureInitiatives&lt;&gt;""), template_label_ok,
IF(AND(BasisForPreparation="Option A (Basic Module only)", E521&lt;&gt;""), template_label_ok, "")))
)</f>
        <v/>
      </c>
    </row>
    <row r="522" spans="1:8" x14ac:dyDescent="0.3">
      <c r="A522" s="214" t="s">
        <v>8</v>
      </c>
      <c r="B522" s="382">
        <v>149</v>
      </c>
      <c r="C522" s="633" t="str">
        <f>template_label_description_of_target_related_to_a_policy</f>
        <v>Description de la cible liée à une politique</v>
      </c>
      <c r="D522" s="633"/>
      <c r="E522" s="724"/>
      <c r="F522" s="724"/>
      <c r="G522" s="725"/>
      <c r="H522" s="16" t="str">
        <f>IF(
'Table of Contents &amp; Validation'!D51=TRUE,
IF(AND(BasisForPreparation="Option B (Basic Module and Comprehensive Module)", C512=TRUE, O512=TRUE, E522=""), "",
IF(AND(BasisForPreparation="Option B (Basic Module and Comprehensive Module)", C512=TRUE, O512=TRUE, E522&lt;&gt;""), template_label_ok,
IF(AND(BasisForPreparation="Option A (Basic Module only)", E522&lt;&gt;""), template_label_ok, ""))),
IF(AND(BasisForPreparation="Option B (Basic Module and Comprehensive Module)", C512=TRUE, O512=TRUE, E522=""), template_label_missing_value,
IF(AND(BasisForPreparation="Option B (Basic Module and Comprehensive Module)", C512=TRUE, O512=TRUE, E522&lt;&gt;""), template_label_ok,
IF(AND(BasisForPreparation="Option A (Basic Module only)", E522&lt;&gt;""), template_label_ok, "")))
)</f>
        <v/>
      </c>
    </row>
    <row r="523" spans="1:8" ht="15" thickBot="1" x14ac:dyDescent="0.35">
      <c r="A523" s="381">
        <v>49</v>
      </c>
      <c r="B523" s="382">
        <v>149</v>
      </c>
      <c r="C523" s="665" t="str">
        <f>template_label_most_senior_level_accountable_for_implementing_practices_policies_and_or_future_initiatives</f>
        <v>Niveau hiérarchique le plus élevé parmi les salariés qui est responsable de la mise en œuvre des politiques, lorsque cela a été déterminé par l’entreprise</v>
      </c>
      <c r="D523" s="665"/>
      <c r="E523" s="722"/>
      <c r="F523" s="722"/>
      <c r="G523" s="723"/>
      <c r="H523" s="16" t="str">
        <f>IF(AND(BasisForPreparation="Option B (Basic Module and Comprehensive Module)", C512=TRUE, MostSeniorLevelAccountableForImplementationOfPolicies=""), "",
IF(AND(BasisForPreparation="Option B (Basic Module and Comprehensive Module)", C512=TRUE, MostSeniorLevelAccountableForImplementationOfPolicies&lt;&gt;""), template_label_ok,
IF(AND(BasisForPreparation="Option A (Basic Module only)", E523&lt;&gt;""), template_label_ok, "")))</f>
        <v/>
      </c>
    </row>
    <row r="524" spans="1:8" ht="14.7" customHeight="1" x14ac:dyDescent="0.3">
      <c r="B524" s="110"/>
      <c r="F524"/>
    </row>
    <row r="525" spans="1:8" ht="14.7" customHeight="1" thickBot="1" x14ac:dyDescent="0.35">
      <c r="B525" s="110"/>
      <c r="F525"/>
    </row>
    <row r="526" spans="1:8" ht="14.85" customHeight="1" thickBot="1" x14ac:dyDescent="0.35">
      <c r="B526" s="110"/>
      <c r="C526" s="648" t="str">
        <f xml:space="preserve"> template_label_c1_strategy_business_model_and_sustainability_related_initiatives &amp; " " &amp; template_label_from &amp; " " &amp; template_starting_date_display &amp; " " &amp; template_label_to &amp; " " &amp; template_ending_date_display &amp; " " &amp;  template_label_always_to_be_reported_if_applicable</f>
        <v>C1 – Stratégie : modèle économique et durabilité – initiatives associées du - au - [Toujours à reporter + le cas échéant]</v>
      </c>
      <c r="D526" s="648"/>
      <c r="E526" s="648"/>
      <c r="F526" s="648"/>
      <c r="G526" s="649"/>
    </row>
    <row r="527" spans="1:8" x14ac:dyDescent="0.3">
      <c r="A527" s="381" t="s">
        <v>26</v>
      </c>
      <c r="B527" s="213" t="s">
        <v>8</v>
      </c>
      <c r="C527" s="671" t="str">
        <f>template_label_description_of_significant_groups_of_products_and_or_services_offered</f>
        <v>Description des grands groupes de produits et/ou services proposés</v>
      </c>
      <c r="D527" s="671"/>
      <c r="E527" s="677"/>
      <c r="F527" s="677"/>
      <c r="G527" s="678"/>
      <c r="H527" s="16" t="str">
        <f>IF(
'Table of Contents &amp; Validation'!D50=TRUE,
IF(AND($E$125="Option B (Basic Module and Comprehensive Module)", E527=""), "",
   IF(AND($E$125="Option A (Basic Module only)", E527&lt;&gt;""), template_label_ok,
   IF(AND($E$125="Option B (Basic Module and Comprehensive Module)", E527&lt;&gt;""), template_label_ok, ""))),
IF(AND($E$125="Option B (Basic Module and Comprehensive Module)", E527=""), template_label_missing_value,
   IF(AND($E$125="Option A (Basic Module only)", E527&lt;&gt;""), template_label_ok,
   IF(AND($E$125="Option B (Basic Module and Comprehensive Module)", E527&lt;&gt;""), template_label_ok, "")))
)</f>
        <v/>
      </c>
    </row>
    <row r="528" spans="1:8" x14ac:dyDescent="0.3">
      <c r="A528" s="381" t="s">
        <v>27</v>
      </c>
      <c r="B528" s="213" t="s">
        <v>8</v>
      </c>
      <c r="C528" s="672" t="str">
        <f>template_label_description_of_significant_market_the_undertaking_operates_in</f>
        <v>Description du ou des grands marchés sur lesquels l'entreprise exerce ses activités (par ex. commerce interentreprises, commerce de gros, commerce de détail, pays)</v>
      </c>
      <c r="D528" s="672"/>
      <c r="E528" s="679"/>
      <c r="F528" s="679"/>
      <c r="G528" s="680"/>
      <c r="H528" s="16" t="str">
        <f>IF(
'Table of Contents &amp; Validation'!D50=TRUE,
IF(AND($E$125="Option B (Basic Module and Comprehensive Module)", E528=""), "",
   IF(AND($E$125="Option A (Basic Module only)", E528&lt;&gt;""), template_label_ok,
   IF(AND($E$125="Option B (Basic Module and Comprehensive Module)", E528&lt;&gt;""), template_label_ok, ""))),
IF(AND($E$125="Option B (Basic Module and Comprehensive Module)", E528=""), template_label_missing_value,
   IF(AND($E$125="Option A (Basic Module only)", E528&lt;&gt;""), template_label_ok,
   IF(AND($E$125="Option B (Basic Module and Comprehensive Module)", E528&lt;&gt;""), template_label_ok, "")))
)</f>
        <v/>
      </c>
    </row>
    <row r="529" spans="1:8" ht="15" thickBot="1" x14ac:dyDescent="0.35">
      <c r="A529" s="381" t="s">
        <v>28</v>
      </c>
      <c r="B529" s="382">
        <v>148</v>
      </c>
      <c r="C529" s="670" t="str">
        <f>template_label_description_of_main_business_relationships</f>
        <v>Description des principales relations d’affaires (telles que les principaux fournisseurs, clients, canaux de distribution)</v>
      </c>
      <c r="D529" s="670"/>
      <c r="E529" s="666"/>
      <c r="F529" s="666"/>
      <c r="G529" s="667"/>
      <c r="H529" s="16" t="str">
        <f>IF(
'Table of Contents &amp; Validation'!D50=TRUE,
IF(AND($E$125="Option B (Basic Module and Comprehensive Module)", E529=""), "",
   IF(AND($E$125="Option A (Basic Module only)", E529&lt;&gt;""), template_label_ok,
   IF(AND($E$125="Option B (Basic Module and Comprehensive Module)", E529&lt;&gt;""), template_label_ok, ""))),
IF(AND($E$125="Option B (Basic Module and Comprehensive Module)", E529=""), template_label_missing_value,
   IF(AND($E$125="Option A (Basic Module only)", E529&lt;&gt;""), template_label_ok,
   IF(AND($E$125="Option B (Basic Module and Comprehensive Module)", E529&lt;&gt;""), template_label_ok, "")))
)</f>
        <v/>
      </c>
    </row>
    <row r="530" spans="1:8" x14ac:dyDescent="0.3">
      <c r="B530" s="110"/>
      <c r="C530" s="673" t="str">
        <f>template_label_has_the_strategy_key_elements_that_relate_to_or_affect_sustainability_issues</f>
        <v xml:space="preserve">	
La stratégie comporte-t-elle des éléments principaux qui se rattachent à des enjeux de durabilité ou qui les influencent ?</v>
      </c>
      <c r="D530" s="674"/>
      <c r="E530" s="675" t="b">
        <v>0</v>
      </c>
      <c r="F530" s="675"/>
      <c r="G530" s="676"/>
    </row>
    <row r="531" spans="1:8" ht="15" thickBot="1" x14ac:dyDescent="0.35">
      <c r="A531" s="381" t="s">
        <v>29</v>
      </c>
      <c r="B531" s="213" t="s">
        <v>8</v>
      </c>
      <c r="C531" s="665" t="str">
        <f>template_label_description_of_those_key_elements_in_the_strategy_that_relate_or_affect_sustainability_issues</f>
        <v>Description des principaux éléments de la stratégie qui se rattachent à des enjeux de durabilité ou qui les influencent</v>
      </c>
      <c r="D531" s="669"/>
      <c r="E531" s="668"/>
      <c r="F531" s="668"/>
      <c r="G531" s="643"/>
      <c r="H531" s="16" t="str">
        <f>IF(AND($E$125="Option B (Basic Module and Comprehensive Module)", E531="", E530=TRUE), template_label_missing_value,
   IF(AND($E$125="Option A (Basic Module only)", E531&lt;&gt;"", E530=TRUE), template_label_ok,
   IF(AND($E$125="Option B (Basic Module and Comprehensive Module)", E531&lt;&gt;"", E530=TRUE), template_label_ok, "")))</f>
        <v/>
      </c>
    </row>
  </sheetData>
  <sheetProtection algorithmName="SHA-512" hashValue="GS5TAYY+TpRbNRlPfCw4x8iIr+i7G1pwmeKnwTQmx4UdMjF7DyHMaXTwJcQUxNQuKUGkNG6i7KLtkpPqPTj7ww==" saltValue="AXsXTkF7Y4voNVrtW2+buQ==" spinCount="100000" sheet="1" formatColumns="0" formatRows="0" insertRows="0"/>
  <mergeCells count="89">
    <mergeCell ref="E521:G521"/>
    <mergeCell ref="E523:G523"/>
    <mergeCell ref="E522:G522"/>
    <mergeCell ref="C521:D521"/>
    <mergeCell ref="C522:D522"/>
    <mergeCell ref="A520:B520"/>
    <mergeCell ref="C520:G520"/>
    <mergeCell ref="C515:D515"/>
    <mergeCell ref="C510:C511"/>
    <mergeCell ref="D510:M510"/>
    <mergeCell ref="C514:D514"/>
    <mergeCell ref="C2:E2"/>
    <mergeCell ref="C397:D397"/>
    <mergeCell ref="C19:E19"/>
    <mergeCell ref="C125:D125"/>
    <mergeCell ref="C21:D21"/>
    <mergeCell ref="C283:D283"/>
    <mergeCell ref="C284:D284"/>
    <mergeCell ref="C20:E20"/>
    <mergeCell ref="C179:D179"/>
    <mergeCell ref="C289:E289"/>
    <mergeCell ref="D3:E3"/>
    <mergeCell ref="D5:E5"/>
    <mergeCell ref="D6:E6"/>
    <mergeCell ref="D7:E7"/>
    <mergeCell ref="D8:E8"/>
    <mergeCell ref="C286:D286"/>
    <mergeCell ref="G6:K8"/>
    <mergeCell ref="C182:D281"/>
    <mergeCell ref="C181:D181"/>
    <mergeCell ref="C180:D180"/>
    <mergeCell ref="D9:E9"/>
    <mergeCell ref="D10:E10"/>
    <mergeCell ref="D11:E11"/>
    <mergeCell ref="D12:E12"/>
    <mergeCell ref="D13:E13"/>
    <mergeCell ref="C124:E124"/>
    <mergeCell ref="C22:D121"/>
    <mergeCell ref="F6:F8"/>
    <mergeCell ref="F10:F12"/>
    <mergeCell ref="G10:K12"/>
    <mergeCell ref="G126:J128"/>
    <mergeCell ref="C15:E15"/>
    <mergeCell ref="E529:G529"/>
    <mergeCell ref="E531:G531"/>
    <mergeCell ref="C531:D531"/>
    <mergeCell ref="C529:D529"/>
    <mergeCell ref="C527:D527"/>
    <mergeCell ref="C528:D528"/>
    <mergeCell ref="C530:D530"/>
    <mergeCell ref="E530:G530"/>
    <mergeCell ref="E527:G527"/>
    <mergeCell ref="E528:G528"/>
    <mergeCell ref="C526:G526"/>
    <mergeCell ref="C396:D396"/>
    <mergeCell ref="E396:H396"/>
    <mergeCell ref="C401:H401"/>
    <mergeCell ref="C400:H400"/>
    <mergeCell ref="C402:C405"/>
    <mergeCell ref="G402:G405"/>
    <mergeCell ref="C509:O509"/>
    <mergeCell ref="C508:O508"/>
    <mergeCell ref="F402:F405"/>
    <mergeCell ref="E402:E405"/>
    <mergeCell ref="D402:D405"/>
    <mergeCell ref="C507:O507"/>
    <mergeCell ref="N510:N511"/>
    <mergeCell ref="O510:O511"/>
    <mergeCell ref="C523:D523"/>
    <mergeCell ref="C282:D282"/>
    <mergeCell ref="C285:D285"/>
    <mergeCell ref="C399:H399"/>
    <mergeCell ref="C122:D122"/>
    <mergeCell ref="C394:H394"/>
    <mergeCell ref="C126:D176"/>
    <mergeCell ref="C290:E290"/>
    <mergeCell ref="E397:H397"/>
    <mergeCell ref="C287:D287"/>
    <mergeCell ref="C395:H395"/>
    <mergeCell ref="C393:H393"/>
    <mergeCell ref="C16:E16"/>
    <mergeCell ref="C17:E17"/>
    <mergeCell ref="A180:A181"/>
    <mergeCell ref="A182:A281"/>
    <mergeCell ref="B182:B281"/>
    <mergeCell ref="B180:B181"/>
    <mergeCell ref="A126:A176"/>
    <mergeCell ref="B126:B176"/>
    <mergeCell ref="C178:E178"/>
  </mergeCells>
  <phoneticPr fontId="3" type="noConversion"/>
  <conditionalFormatting sqref="C22 E22:E122 C122:D122">
    <cfRule type="expression" dxfId="371" priority="90">
      <formula>$E$21=TRUE</formula>
    </cfRule>
  </conditionalFormatting>
  <conditionalFormatting sqref="C181">
    <cfRule type="expression" dxfId="370" priority="106">
      <formula>$E$180="other (please specify the legal form in the row below)"</formula>
    </cfRule>
  </conditionalFormatting>
  <conditionalFormatting sqref="D516:D518">
    <cfRule type="expression" dxfId="369" priority="11">
      <formula>$E$180="cooperative"</formula>
    </cfRule>
  </conditionalFormatting>
  <conditionalFormatting sqref="D292:E391">
    <cfRule type="expression" dxfId="368" priority="58">
      <formula>$E$179="Sustainability report prepared on a consolidated basis"</formula>
    </cfRule>
  </conditionalFormatting>
  <conditionalFormatting sqref="D512:O512 E521 E523">
    <cfRule type="expression" dxfId="367" priority="20">
      <formula>$C$512=TRUE</formula>
    </cfRule>
  </conditionalFormatting>
  <conditionalFormatting sqref="D512:O512">
    <cfRule type="expression" dxfId="366" priority="30">
      <formula>$C$512=TRUE</formula>
    </cfRule>
  </conditionalFormatting>
  <conditionalFormatting sqref="E22:E121">
    <cfRule type="expression" dxfId="365" priority="144">
      <formula>AND(ISBLANK(#REF!), $E$21=TRUE)</formula>
    </cfRule>
  </conditionalFormatting>
  <conditionalFormatting sqref="E126:E176">
    <cfRule type="expression" dxfId="364" priority="3">
      <formula>$F$126="Disclosure completely omitted"</formula>
    </cfRule>
    <cfRule type="expression" dxfId="363" priority="2">
      <formula>ISNUMBER(MATCH(E126, enum_ListOmittedDisclosures, 0))</formula>
    </cfRule>
  </conditionalFormatting>
  <conditionalFormatting sqref="E181">
    <cfRule type="expression" dxfId="362" priority="105">
      <formula>$E$180="other (please specify the legal form in the row below)"</formula>
    </cfRule>
  </conditionalFormatting>
  <conditionalFormatting sqref="E396">
    <cfRule type="expression" dxfId="361" priority="56">
      <formula>$D$303="YES"</formula>
    </cfRule>
  </conditionalFormatting>
  <conditionalFormatting sqref="E516:E518">
    <cfRule type="expression" dxfId="360" priority="14">
      <formula>$E516=template_label_ok</formula>
    </cfRule>
  </conditionalFormatting>
  <conditionalFormatting sqref="E522:G522">
    <cfRule type="expression" dxfId="359" priority="374">
      <formula>AND($C$512=TRUE,$O$512=TRUE)</formula>
    </cfRule>
  </conditionalFormatting>
  <conditionalFormatting sqref="E531:G531">
    <cfRule type="expression" dxfId="358" priority="47">
      <formula>$E$530=TRUE</formula>
    </cfRule>
  </conditionalFormatting>
  <conditionalFormatting sqref="E397:H397">
    <cfRule type="expression" dxfId="357" priority="55">
      <formula>$E$396=TRUE</formula>
    </cfRule>
  </conditionalFormatting>
  <conditionalFormatting sqref="F3:F5 F292:F391">
    <cfRule type="expression" dxfId="356" priority="150">
      <formula>$F3=template_label_missing_value</formula>
    </cfRule>
    <cfRule type="expression" dxfId="355" priority="149">
      <formula>$F3=template_label_ok</formula>
    </cfRule>
  </conditionalFormatting>
  <conditionalFormatting sqref="F6:F8">
    <cfRule type="expression" dxfId="354" priority="5">
      <formula>$F$6=template_label_error</formula>
    </cfRule>
    <cfRule type="expression" dxfId="353" priority="60">
      <formula>$F$6=template_label_value_inconsistency</formula>
    </cfRule>
    <cfRule type="expression" dxfId="352" priority="62">
      <formula>$F$6=template_label_ok</formula>
    </cfRule>
    <cfRule type="expression" dxfId="351" priority="63">
      <formula>$F$6=template_label_missing_value</formula>
    </cfRule>
  </conditionalFormatting>
  <conditionalFormatting sqref="F10">
    <cfRule type="expression" dxfId="350" priority="64">
      <formula>$F$10=template_label_missing_value</formula>
    </cfRule>
    <cfRule type="expression" dxfId="349" priority="65">
      <formula>$F$10=template_label_value_inconsistency</formula>
    </cfRule>
    <cfRule type="expression" dxfId="348" priority="66">
      <formula>$F$10=template_label_ok</formula>
    </cfRule>
    <cfRule type="expression" dxfId="347" priority="59">
      <formula>$F$10=template_label_error</formula>
    </cfRule>
  </conditionalFormatting>
  <conditionalFormatting sqref="F13:F14">
    <cfRule type="expression" dxfId="346" priority="67">
      <formula>$F13="MISSING VALUE"</formula>
    </cfRule>
    <cfRule type="expression" dxfId="345" priority="68">
      <formula>$F13="OK"</formula>
    </cfRule>
  </conditionalFormatting>
  <conditionalFormatting sqref="F17">
    <cfRule type="expression" dxfId="344" priority="582">
      <formula>F17=template_label_ok</formula>
    </cfRule>
  </conditionalFormatting>
  <conditionalFormatting sqref="F21">
    <cfRule type="expression" dxfId="343" priority="91">
      <formula>$F$21=template_label_ok</formula>
    </cfRule>
  </conditionalFormatting>
  <conditionalFormatting sqref="F22:F122">
    <cfRule type="expression" dxfId="342" priority="88">
      <formula>$F22=template_label_missing_value</formula>
    </cfRule>
    <cfRule type="expression" dxfId="341" priority="10">
      <formula>$F22=template_label_value_inconsistency</formula>
    </cfRule>
    <cfRule type="expression" dxfId="340" priority="89">
      <formula>$F22=template_label_ok</formula>
    </cfRule>
  </conditionalFormatting>
  <conditionalFormatting sqref="F122">
    <cfRule type="expression" dxfId="339" priority="15">
      <formula>$F$122=template_label_invalid_url</formula>
    </cfRule>
  </conditionalFormatting>
  <conditionalFormatting sqref="F125">
    <cfRule type="expression" dxfId="338" priority="72">
      <formula>$F125=template_label_ok</formula>
    </cfRule>
    <cfRule type="expression" dxfId="337" priority="71">
      <formula>$F125=template_label_missing_value</formula>
    </cfRule>
  </conditionalFormatting>
  <conditionalFormatting sqref="F126">
    <cfRule type="expression" dxfId="336" priority="8">
      <formula>$F$126=template_label_value_inconsistency</formula>
    </cfRule>
    <cfRule type="expression" dxfId="335" priority="122">
      <formula>$F$126=template_label_ok</formula>
    </cfRule>
    <cfRule type="expression" dxfId="334" priority="121">
      <formula>$F$126=template_label_missing_value</formula>
    </cfRule>
  </conditionalFormatting>
  <conditionalFormatting sqref="F179">
    <cfRule type="expression" dxfId="333" priority="154">
      <formula>$F$179=template_label_missing_value</formula>
    </cfRule>
    <cfRule type="expression" dxfId="332" priority="131">
      <formula>$F$179=template_label_ok</formula>
    </cfRule>
  </conditionalFormatting>
  <conditionalFormatting sqref="F180">
    <cfRule type="expression" dxfId="331" priority="130">
      <formula>$F$180=template_label_ok</formula>
    </cfRule>
    <cfRule type="expression" dxfId="330" priority="129">
      <formula>$F$180=template_label_missing_value</formula>
    </cfRule>
  </conditionalFormatting>
  <conditionalFormatting sqref="F181">
    <cfRule type="expression" dxfId="329" priority="92">
      <formula>$F$181=template_label_missing_value</formula>
    </cfRule>
    <cfRule type="expression" dxfId="328" priority="93">
      <formula>$F$181=template_label_ok</formula>
    </cfRule>
  </conditionalFormatting>
  <conditionalFormatting sqref="F182">
    <cfRule type="expression" dxfId="327" priority="7">
      <formula>$F$182=template_label_value_inconsistency</formula>
    </cfRule>
    <cfRule type="expression" dxfId="326" priority="152">
      <formula>$F$182=template_label_missing_value</formula>
    </cfRule>
    <cfRule type="expression" dxfId="325" priority="44">
      <formula>$F$182=template_label_error</formula>
    </cfRule>
    <cfRule type="expression" dxfId="324" priority="151">
      <formula>$F$182=template_label_ok</formula>
    </cfRule>
  </conditionalFormatting>
  <conditionalFormatting sqref="F183:F281">
    <cfRule type="expression" dxfId="323" priority="43">
      <formula>$F183=template_label_error</formula>
    </cfRule>
    <cfRule type="expression" dxfId="322" priority="6">
      <formula>$F183=template_label_value_inconsistency</formula>
    </cfRule>
    <cfRule type="expression" dxfId="321" priority="42">
      <formula>$F183=template_label_ok</formula>
    </cfRule>
    <cfRule type="expression" dxfId="320" priority="41">
      <formula>$F183=template_label_missing_value</formula>
    </cfRule>
  </conditionalFormatting>
  <conditionalFormatting sqref="F282">
    <cfRule type="expression" dxfId="319" priority="138">
      <formula>$F$282=template_label_ok</formula>
    </cfRule>
    <cfRule type="expression" dxfId="318" priority="139">
      <formula>$F$282=template_label_missing_value</formula>
    </cfRule>
  </conditionalFormatting>
  <conditionalFormatting sqref="F283:F287">
    <cfRule type="expression" dxfId="317" priority="136">
      <formula>$F283=template_label_ok</formula>
    </cfRule>
    <cfRule type="expression" dxfId="316" priority="137">
      <formula>$F283=template_label_missing_value</formula>
    </cfRule>
  </conditionalFormatting>
  <conditionalFormatting sqref="F391">
    <cfRule type="expression" dxfId="315" priority="275">
      <formula>$F402="MISSING VALUE"</formula>
    </cfRule>
    <cfRule type="expression" dxfId="314" priority="276">
      <formula>$F402="OK"</formula>
    </cfRule>
  </conditionalFormatting>
  <conditionalFormatting sqref="G180">
    <cfRule type="expression" dxfId="313" priority="135">
      <formula>$G$180="Please specify the legal form in the row below"</formula>
    </cfRule>
  </conditionalFormatting>
  <conditionalFormatting sqref="H406:H505">
    <cfRule type="expression" dxfId="312" priority="16">
      <formula>$H$405=FALSE</formula>
    </cfRule>
  </conditionalFormatting>
  <conditionalFormatting sqref="H521:H523">
    <cfRule type="expression" dxfId="311" priority="17">
      <formula>$H521=template_label_missing_value</formula>
    </cfRule>
    <cfRule type="expression" dxfId="310" priority="18">
      <formula>$H521=template_label_ok</formula>
    </cfRule>
  </conditionalFormatting>
  <conditionalFormatting sqref="H527:H529 H531">
    <cfRule type="expression" dxfId="309" priority="104">
      <formula>$H527=template_label_missing_value</formula>
    </cfRule>
    <cfRule type="expression" dxfId="308" priority="103">
      <formula>$H527=template_label_ok</formula>
    </cfRule>
  </conditionalFormatting>
  <conditionalFormatting sqref="I397">
    <cfRule type="expression" dxfId="307" priority="46">
      <formula>$I$397=template_label_missing_value</formula>
    </cfRule>
    <cfRule type="expression" dxfId="306" priority="87">
      <formula>$I$397=template_label_ok</formula>
    </cfRule>
  </conditionalFormatting>
  <conditionalFormatting sqref="I406:I505">
    <cfRule type="expression" dxfId="305" priority="94">
      <formula>$I406=template_label_ok</formula>
    </cfRule>
    <cfRule type="expression" dxfId="304" priority="95">
      <formula>$I406=template_label_missing_value</formula>
    </cfRule>
  </conditionalFormatting>
  <conditionalFormatting sqref="P512">
    <cfRule type="expression" dxfId="303" priority="27">
      <formula>$P$512=template_label_ok</formula>
    </cfRule>
    <cfRule type="expression" dxfId="302" priority="26">
      <formula>$P$512=template_label_missing_value</formula>
    </cfRule>
  </conditionalFormatting>
  <dataValidations xWindow="1485" yWindow="311" count="19">
    <dataValidation type="list" allowBlank="1" showInputMessage="1" showErrorMessage="1" sqref="E179" xr:uid="{4F13A5F9-E736-4E05-A233-B9B112EBE6A1}">
      <formula1>"Sustainability report prepared on an individual basis, Sustainability report prepared on a consolidated basis"</formula1>
    </dataValidation>
    <dataValidation type="list" allowBlank="1" showInputMessage="1" showErrorMessage="1" sqref="E286" xr:uid="{1DA6DC5E-36CE-4C4E-942D-7DCF7644718A}">
      <formula1>"Headcount, Full-time equivalent (FTE)"</formula1>
    </dataValidation>
    <dataValidation type="list" allowBlank="1" showInputMessage="1" showErrorMessage="1" sqref="G406:G505" xr:uid="{BE8F6A12-5C78-4D48-9F63-01FCA7AABD87}">
      <formula1>enum_ListCountriesName</formula1>
    </dataValidation>
    <dataValidation type="list" allowBlank="1" showInputMessage="1" showErrorMessage="1" sqref="E22:E121" xr:uid="{544D34CA-1630-49D5-B390-0FD7794F8530}">
      <formula1>enum_ListOmittedDisclosures</formula1>
    </dataValidation>
    <dataValidation type="decimal" operator="equal" allowBlank="1" showInputMessage="1" showErrorMessage="1" sqref="D517 E282:E284" xr:uid="{546D8560-FA10-4E3C-8848-2A7A25B13150}">
      <formula1>D282</formula1>
    </dataValidation>
    <dataValidation type="custom" showInputMessage="1" showErrorMessage="1" sqref="E530 I519:O525 E396 I396 C524:H525 C519:H519 H405 E21 C512:M513 N513:O513" xr:uid="{9BD8F46B-C9AA-4C89-814F-A6D87FB15620}">
      <formula1>OR(C21=TRUE,C21=FALSE)</formula1>
    </dataValidation>
    <dataValidation allowBlank="1" showInputMessage="1" showErrorMessage="1" promptTitle="Warning" prompt="The coordinates should be entered in the format of &quot;latitude,langtitude&quot;. For example, the EFRAG office if Brussels would be reported as 50.840664,4.369322. Multiple locations are to be separated by whitespace." sqref="M406" xr:uid="{C35A9262-C360-4D5E-968C-53C84371D491}"/>
    <dataValidation type="list" allowBlank="1" showInputMessage="1" showErrorMessage="1" sqref="D5:E5" xr:uid="{CBA5C810-BD1B-4457-A1F9-2D364225E70C}">
      <formula1>enum_ListOfCurrencies</formula1>
    </dataValidation>
    <dataValidation type="list" allowBlank="1" showInputMessage="1" showErrorMessage="1" sqref="E285" xr:uid="{144F4C96-EADD-4F0D-816D-09334348F775}">
      <formula1>enum_employee_methodology</formula1>
    </dataValidation>
    <dataValidation type="custom" showInputMessage="1" showErrorMessage="1" sqref="K406:K505" xr:uid="{87B45667-2565-4DEE-8FB7-7B0AF6539C1C}">
      <formula1>LOWER(SUBSTITUTE(D406," ","+" )) &amp; "+" &amp; LOWER(SUBSTITUTE(E406," ","+" )) &amp; "+" &amp; LOWER(SUBSTITUTE(F406," ","+" )) &amp; "+" &amp; LOWER(SUBSTITUTE(G406," ","+" )) &amp; "+"</formula1>
    </dataValidation>
    <dataValidation type="list" allowBlank="1" showInputMessage="1" showErrorMessage="1" sqref="D4" xr:uid="{283D8083-3194-4536-B7E2-CB3D63926BC2}">
      <formula1>enum_ListIdentifier</formula1>
    </dataValidation>
    <dataValidation type="date" operator="greaterThan" showInputMessage="1" showErrorMessage="1" sqref="E14" xr:uid="{14FB1F45-F6E6-440A-8B10-700A785CFE1C}">
      <formula1>D10</formula1>
    </dataValidation>
    <dataValidation type="list" allowBlank="1" showInputMessage="1" showErrorMessage="1" sqref="D6:E6 D10:E10" xr:uid="{286A2A42-664A-4629-8EDF-6AD1A9EC4B90}">
      <formula1>enum_ListYear</formula1>
    </dataValidation>
    <dataValidation type="list" allowBlank="1" showInputMessage="1" showErrorMessage="1" sqref="D7:E7 D11:E11" xr:uid="{D33917E8-F0D3-4A11-925F-EB91222F88F7}">
      <formula1>enum_ListMonth</formula1>
    </dataValidation>
    <dataValidation type="list" operator="equal" showInputMessage="1" showErrorMessage="1" sqref="D8:E8" xr:uid="{64E572C6-C437-4D0B-9B15-945D6883829A}">
      <formula1>enum_ListDays</formula1>
    </dataValidation>
    <dataValidation type="list" showInputMessage="1" showErrorMessage="1" sqref="D12:E12" xr:uid="{539457F0-6934-48A5-A4D1-97B449C94467}">
      <formula1>enum_ListDays</formula1>
    </dataValidation>
    <dataValidation type="list" allowBlank="1" showInputMessage="1" showErrorMessage="1" sqref="E182:E281" xr:uid="{EDCACB96-AA7D-42B4-A79D-8DE45409D62B}">
      <formula1>enum_ListNACETechnicalName</formula1>
    </dataValidation>
    <dataValidation type="list" allowBlank="1" showInputMessage="1" showErrorMessage="1" sqref="E125" xr:uid="{A53B3E48-2249-4EB2-9109-724985498E91}">
      <formula1>enum_list_options</formula1>
    </dataValidation>
    <dataValidation type="list" showInputMessage="1" showErrorMessage="1" sqref="N512:O512" xr:uid="{5DF04EA5-4448-4B3D-8846-FBF18CEE3669}">
      <formula1>enum_list_true_false</formula1>
    </dataValidation>
  </dataValidations>
  <hyperlinks>
    <hyperlink ref="C20:E20" r:id="rId1" display="https://knowledgehub.efrag.org/eng/interactive/vsme/vsme-standard-annex-i/2025-07-30-ec-rec/16" xr:uid="{C6288B83-38FD-4709-9B33-F0054DEC3724}"/>
    <hyperlink ref="C290:E290" r:id="rId2" display="24(d)" xr:uid="{866DC784-0A33-4296-94DE-730486B814EB}"/>
    <hyperlink ref="C394:H394" r:id="rId3" display="https://knowledgehub.efrag.org/eng/interactive/vsme/vsme-standard-annex-i/2025-07-30-ec-rec/25" xr:uid="{54DF6562-5AB5-4BA2-84D3-3DDE9832AD7E}"/>
    <hyperlink ref="C395:H395" r:id="rId4" display="https://knowledgehub.efrag.org/eng/interactive/vsme/vsme-standard-annex-i/2025-07-30-ec-rec/13" xr:uid="{0A519FD0-994C-434D-97B2-E4682198F70F}"/>
    <hyperlink ref="C400:H400" r:id="rId5" display="24(e)(vii)" xr:uid="{B3308BD5-CB62-4F0C-87A6-146AA483697A}"/>
    <hyperlink ref="C508:O508" r:id="rId6" display="26-28" xr:uid="{63C6537F-D116-45BA-A6BC-D28D40439E04}"/>
    <hyperlink ref="C515:D515" r:id="rId7" display="https://knowledgehub.efrag.org/eng/interactive/vsme/vsme-standard-annex-i/2025-07-30-ec-rec/15" xr:uid="{09323354-C4EA-4502-9D95-6A9FF1C876C5}"/>
    <hyperlink ref="A521" r:id="rId8" display="https://knowledgehub.efrag.org/eng/interactive/vsme/vsme-standard-annex-i/2025-07-30-ec-rec/48" xr:uid="{C2A82C28-96C3-4BB8-BB11-D6F8F8783300}"/>
    <hyperlink ref="A523" r:id="rId9" display="https://knowledgehub.efrag.org/eng/interactive/vsme/vsme-standard-annex-i/2025-07-30-ec-rec/49" xr:uid="{BEFF9414-B88D-4969-AC2C-7198F9BF54DF}"/>
    <hyperlink ref="A527" r:id="rId10" xr:uid="{1807F717-62C6-49F3-AAA4-CBD56B0E8817}"/>
    <hyperlink ref="A528" r:id="rId11" xr:uid="{68E2248F-8336-4B33-93BE-B6AFC4D8A606}"/>
    <hyperlink ref="A529" r:id="rId12" xr:uid="{B2C9ED42-61E9-4195-BE3D-D938ABECECC0}"/>
    <hyperlink ref="A531" r:id="rId13" xr:uid="{FD94F833-4E92-4157-A52C-B66DD33CFE3F}"/>
    <hyperlink ref="B521" r:id="rId14" display="https://knowledgehub.efrag.org/eng/interactive/vsme/vsme-guidance-annex-ii/2025-07-30-ec-rec/149" xr:uid="{125D959B-6578-430D-BF85-54C9B2704275}"/>
    <hyperlink ref="B522" r:id="rId15" display="https://knowledgehub.efrag.org/eng/interactive/vsme/vsme-guidance-annex-ii/2025-07-30-ec-rec/149" xr:uid="{D656A360-3D1C-4FFD-A719-E6B3C37BD877}"/>
    <hyperlink ref="B523" r:id="rId16" display="https://knowledgehub.efrag.org/eng/interactive/vsme/vsme-guidance-annex-ii/2025-07-30-ec-rec/149" xr:uid="{1AA5D739-576A-432D-A91C-D7CC1E61F30C}"/>
    <hyperlink ref="B529" r:id="rId17" display="https://knowledgehub.efrag.org/eng/interactive/vsme/vsme-guidance-annex-ii/2025-07-30-ec-rec/148" xr:uid="{249A661B-7669-4870-801E-A4CBC1FDC22E}"/>
    <hyperlink ref="A125" r:id="rId18" xr:uid="{8EBCDC24-36DB-46B3-8D1D-9DCD530C843C}"/>
    <hyperlink ref="A126:A175" r:id="rId19" display="24(b)" xr:uid="{B917842C-2C60-41E9-89D2-8A2DBA36B4E9}"/>
    <hyperlink ref="A179" r:id="rId20" xr:uid="{ADECC625-0B55-465C-B2BD-5EFECF880BBA}"/>
    <hyperlink ref="A180:A181" r:id="rId21" display="24(e)(i)" xr:uid="{E1C27733-152F-4179-8EFF-F34BECD1BCEF}"/>
    <hyperlink ref="A182:A281" r:id="rId22" display="24(e)(ii)" xr:uid="{E2BB88AA-B51C-4158-88AB-A424BF457282}"/>
    <hyperlink ref="A282" r:id="rId23" xr:uid="{444C8ED6-E5B2-4BE8-B76D-993144E145B7}"/>
    <hyperlink ref="A283" r:id="rId24" xr:uid="{21550F72-CFC7-4DB9-A670-5EE464EE7763}"/>
    <hyperlink ref="A284" r:id="rId25" xr:uid="{7D723C6C-17E9-498C-9CAE-CA500D7388A6}"/>
    <hyperlink ref="A285:A286" r:id="rId26" display="24(e)(v)" xr:uid="{F0CC4088-4FB7-4D95-8911-C9DD4115210B}"/>
    <hyperlink ref="A287" r:id="rId27" xr:uid="{42045304-FF87-4AAF-A8C4-0F94F3B97279}"/>
    <hyperlink ref="C509:O509" r:id="rId28" display="14-16" xr:uid="{B4CE6D09-7A17-4026-9EDC-271388677413}"/>
    <hyperlink ref="B180:B181" r:id="rId29" display="https://knowledgehub.efrag.org/eng/interactive/vsme/vsme-guidance-annex-ii/2025-07-30-ec-rec/4" xr:uid="{2723B501-F4FB-472D-BAD1-E43FC3629F1A}"/>
    <hyperlink ref="B182:B281" r:id="rId30" display="5-6" xr:uid="{524BCD23-3896-4850-A5C9-870A36C4220C}"/>
    <hyperlink ref="B284" r:id="rId31" xr:uid="{C8D30604-CD9E-4853-A443-DF19EF5CE9A4}"/>
    <hyperlink ref="B285" r:id="rId32" xr:uid="{23FED8FD-34D7-43BB-AFA1-9337C851EB7D}"/>
    <hyperlink ref="B286" r:id="rId33" xr:uid="{14AA45CB-9EC4-40F8-9E9B-AD82EB25208E}"/>
    <hyperlink ref="B287" r:id="rId34" xr:uid="{A48D046E-7425-470E-9D49-B1203CD825B8}"/>
    <hyperlink ref="C401:H401" r:id="rId35" display=" 9-12" xr:uid="{22B60030-FAA1-4ACE-8EC1-D718C6969A55}"/>
    <hyperlink ref="A520:B520" r:id="rId36" display="https://www.efrag.org/en/vsme-supporting-guide-on-disclosure-c2-comprehensive-module-practices-policies-and-future" xr:uid="{D2E4A3E9-6027-4469-A94E-9710EE9048D6}"/>
  </hyperlinks>
  <pageMargins left="0.7" right="0.7" top="0.75" bottom="0.75" header="0.3" footer="0.3"/>
  <pageSetup paperSize="9" orientation="portrait" horizontalDpi="4294967293" verticalDpi="4294967293" r:id="rId37"/>
  <drawing r:id="rId38"/>
  <extLst>
    <ext xmlns:x14="http://schemas.microsoft.com/office/spreadsheetml/2009/9/main" uri="{CCE6A557-97BC-4b89-ADB6-D9C93CAAB3DF}">
      <x14:dataValidations xmlns:xm="http://schemas.microsoft.com/office/excel/2006/main" xWindow="1485" yWindow="311" count="2">
        <x14:dataValidation type="list" allowBlank="1" showInputMessage="1" showErrorMessage="1" xr:uid="{0AF44263-3F7A-40FE-9400-EEC7E8C4DF4E}">
          <x14:formula1>
            <xm:f>'Enumeration Lists'!$C$2:$C$257</xm:f>
          </x14:formula1>
          <xm:sqref>E287</xm:sqref>
        </x14:dataValidation>
        <x14:dataValidation type="list" allowBlank="1" showInputMessage="1" showErrorMessage="1" xr:uid="{386E27C7-13F7-4F0C-8DF1-6A82CC469E13}">
          <x14:formula1>
            <xm:f>'Enumeration Lists'!$J$2:$J$6</xm:f>
          </x14:formula1>
          <xm:sqref>E180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0D012-9FFA-46E0-AC1E-254B3B108EC6}">
  <sheetPr codeName="Sheet3"/>
  <dimension ref="A1:U548"/>
  <sheetViews>
    <sheetView showGridLines="0" tabSelected="1" zoomScaleNormal="100" workbookViewId="0"/>
  </sheetViews>
  <sheetFormatPr baseColWidth="10" defaultColWidth="8.88671875" defaultRowHeight="14.4" outlineLevelRow="2" x14ac:dyDescent="0.3"/>
  <cols>
    <col min="1" max="2" width="10" bestFit="1" customWidth="1"/>
    <col min="3" max="3" width="78.109375" customWidth="1"/>
    <col min="4" max="4" width="17.33203125" customWidth="1"/>
    <col min="5" max="5" width="19.6640625" customWidth="1"/>
    <col min="6" max="6" width="22.6640625" customWidth="1"/>
    <col min="7" max="7" width="23.88671875" customWidth="1"/>
    <col min="8" max="8" width="5.33203125" customWidth="1"/>
    <col min="9" max="9" width="13.6640625" customWidth="1"/>
    <col min="10" max="10" width="26.5546875" customWidth="1"/>
    <col min="11" max="11" width="24.6640625" customWidth="1"/>
    <col min="12" max="12" width="27.33203125" customWidth="1"/>
    <col min="13" max="13" width="30.33203125" customWidth="1"/>
    <col min="14" max="14" width="29.6640625" customWidth="1"/>
  </cols>
  <sheetData>
    <row r="1" spans="1:13" ht="43.8" thickBot="1" x14ac:dyDescent="0.35">
      <c r="A1" s="218" t="str">
        <f>template_label_paragraph_reference</f>
        <v>Référence de paragraphe</v>
      </c>
      <c r="B1" s="218" t="str">
        <f>template_label_paragraph_guidance_reference</f>
        <v>Référence de paragraphe des orientations</v>
      </c>
    </row>
    <row r="2" spans="1:13" ht="15" thickBot="1" x14ac:dyDescent="0.35">
      <c r="C2" s="634" t="str">
        <f>template_label_b3_total_energy_consumption&amp;" "&amp;template_label_from&amp;" "&amp;template_starting_date_display&amp;" "&amp;template_label_to&amp;" "&amp;template_ending_date_display&amp;" "&amp;template_label_always_to_be_reported</f>
        <v xml:space="preserve">B3 - Consommation totale d’énergie (en MWh) du - au - [Toujours à reporter] 
</v>
      </c>
      <c r="D2" s="781"/>
      <c r="E2" s="781"/>
      <c r="F2" s="781"/>
      <c r="G2" s="781"/>
      <c r="H2" s="781"/>
      <c r="I2" s="781"/>
      <c r="J2" s="781"/>
      <c r="K2" s="782"/>
    </row>
    <row r="3" spans="1:13" x14ac:dyDescent="0.3">
      <c r="C3" s="636">
        <v>29</v>
      </c>
      <c r="D3" s="783"/>
      <c r="E3" s="783"/>
      <c r="F3" s="783"/>
      <c r="G3" s="783"/>
      <c r="H3" s="783"/>
      <c r="I3" s="783"/>
      <c r="J3" s="783"/>
      <c r="K3" s="784"/>
    </row>
    <row r="4" spans="1:13" x14ac:dyDescent="0.3">
      <c r="C4" s="645" t="s">
        <v>30</v>
      </c>
      <c r="D4" s="622"/>
      <c r="E4" s="622"/>
      <c r="F4" s="622"/>
      <c r="G4" s="622"/>
      <c r="H4" s="622"/>
      <c r="I4" s="622"/>
      <c r="J4" s="622"/>
      <c r="K4" s="741"/>
    </row>
    <row r="5" spans="1:13" ht="15" thickBot="1" x14ac:dyDescent="0.35">
      <c r="C5" s="794" t="str">
        <f>template_label_total_energy_consumption</f>
        <v>Consommation totale d’énergie</v>
      </c>
      <c r="D5" s="795"/>
      <c r="E5" s="795"/>
      <c r="F5" s="795"/>
      <c r="G5" s="812"/>
      <c r="H5" s="812"/>
      <c r="I5" s="812"/>
      <c r="J5" s="812"/>
      <c r="K5" s="813"/>
      <c r="L5" s="16" t="str">
        <f>IF(OR(
'Table of Contents &amp; Validation'!D21=TRUE, 'Table of Contents &amp; Validation'!D20=TRUE),
IF(AND(OR('General Information'!E125="Option A (Basic Module only)", 'General Information'!E125="Option B (Basic Module and Comprehensive Module)"), G5=""), "", IF('General Information'!E125="", "", template_label_ok)),
IF(AND(OR('General Information'!E125="Option A (Basic Module only)", 'General Information'!E125="Option B (Basic Module and Comprehensive Module)"), G5=""), template_label_missing_value, IF('General Information'!E125="", "", template_label_ok))
)</f>
        <v/>
      </c>
    </row>
    <row r="6" spans="1:13" ht="15" thickBot="1" x14ac:dyDescent="0.35"/>
    <row r="7" spans="1:13" ht="15" thickBot="1" x14ac:dyDescent="0.35">
      <c r="C7" s="629" t="str">
        <f>template_label_b3_breakdown_of_energy_consumption&amp;" "&amp;template_label_from&amp;" "&amp;template_starting_date_display&amp;" "&amp;template_label_to&amp;" "&amp;template_ending_date_display&amp;" "&amp;template_label_if_applicable</f>
        <v>B3 - Ventilation de la consommation d'énergie (en MWh) du - au - [Le cas échéant]</v>
      </c>
      <c r="D7" s="630"/>
      <c r="E7" s="630"/>
      <c r="F7" s="630"/>
      <c r="G7" s="630"/>
      <c r="H7" s="630"/>
      <c r="I7" s="630"/>
      <c r="J7" s="630"/>
      <c r="K7" s="631"/>
    </row>
    <row r="8" spans="1:13" x14ac:dyDescent="0.3">
      <c r="C8" s="636">
        <v>29</v>
      </c>
      <c r="D8" s="783"/>
      <c r="E8" s="783"/>
      <c r="F8" s="783"/>
      <c r="G8" s="783"/>
      <c r="H8" s="783"/>
      <c r="I8" s="783"/>
      <c r="J8" s="783"/>
      <c r="K8" s="784"/>
    </row>
    <row r="9" spans="1:13" x14ac:dyDescent="0.3">
      <c r="C9" s="645" t="s">
        <v>30</v>
      </c>
      <c r="D9" s="622"/>
      <c r="E9" s="622"/>
      <c r="F9" s="622"/>
      <c r="G9" s="622"/>
      <c r="H9" s="622"/>
      <c r="I9" s="622"/>
      <c r="J9" s="622"/>
      <c r="K9" s="741"/>
    </row>
    <row r="10" spans="1:13" x14ac:dyDescent="0.3">
      <c r="C10" s="769" t="str">
        <f>template_label_has_the_undertaking_obtained_the_necessary_information_to_provide_an_energy_consumption_breakdown</f>
        <v>L’entreprise a-t-elle obtenu les informations nécessaires pour fournir une ventilation de la consommation d’énergie ?</v>
      </c>
      <c r="D10" s="770"/>
      <c r="E10" s="770"/>
      <c r="F10" s="770"/>
      <c r="G10" s="771" t="b">
        <v>0</v>
      </c>
      <c r="H10" s="771"/>
      <c r="I10" s="771"/>
      <c r="J10" s="771"/>
      <c r="K10" s="652"/>
    </row>
    <row r="11" spans="1:13" ht="38.700000000000003" customHeight="1" x14ac:dyDescent="0.3">
      <c r="C11" s="827"/>
      <c r="D11" s="828"/>
      <c r="E11" s="828"/>
      <c r="F11" s="828"/>
      <c r="G11" s="808" t="str">
        <f>template_label_renewable</f>
        <v>Renouvelable</v>
      </c>
      <c r="H11" s="809"/>
      <c r="I11" s="809"/>
      <c r="J11" s="92" t="str">
        <f>template_label_non_renewable</f>
        <v>Non renouvelable</v>
      </c>
      <c r="K11" s="93" t="str">
        <f>template_label_total_renewable_and_nonrenewable</f>
        <v>Total renouvelable et non renouvelable</v>
      </c>
      <c r="L11" s="16"/>
    </row>
    <row r="12" spans="1:13" x14ac:dyDescent="0.3">
      <c r="C12" s="796" t="str">
        <f>template_label_electricity</f>
        <v>Électricité (telle qu’indiquée sur les factures de consommation courante)</v>
      </c>
      <c r="D12" s="797"/>
      <c r="E12" s="797"/>
      <c r="F12" s="798"/>
      <c r="G12" s="802"/>
      <c r="H12" s="803"/>
      <c r="I12" s="804"/>
      <c r="J12" s="221"/>
      <c r="K12" s="252" t="str">
        <f>IF(AND(G12="",J12=""),"-",SUM(G12:J12))</f>
        <v>-</v>
      </c>
      <c r="L12" s="756" t="str" cm="1">
        <f t="array" ref="L12">IF(G10=TRUE,
    IF(SUMPRODUCT(--(G12:J14&lt;&gt;"-"), --(G12:J14&lt;&gt;""))&gt;0,
        IF(SUM(G12:J14) &gt; TotalEnergyConsumption, template_label_value_inconsistency, template_label_ok),
        template_label_missing_value),
"")</f>
        <v/>
      </c>
    </row>
    <row r="13" spans="1:13" x14ac:dyDescent="0.3">
      <c r="C13" s="799" t="str">
        <f>template_label_selfgenerated_electricity</f>
        <v>Électricité auto-produite</v>
      </c>
      <c r="D13" s="800"/>
      <c r="E13" s="800"/>
      <c r="F13" s="801"/>
      <c r="G13" s="802"/>
      <c r="H13" s="803"/>
      <c r="I13" s="804"/>
      <c r="J13" s="221"/>
      <c r="K13" s="252" t="str">
        <f>IF(AND(G13="",J13=""),"-",SUM(G13:J13))</f>
        <v>-</v>
      </c>
      <c r="L13" s="756"/>
    </row>
    <row r="14" spans="1:13" ht="15" thickBot="1" x14ac:dyDescent="0.35">
      <c r="C14" s="829" t="str">
        <f>template_label_fuels</f>
        <v>Combustibles (voir Convertisseur de combustible dans la feuille Combustible)</v>
      </c>
      <c r="D14" s="830"/>
      <c r="E14" s="830"/>
      <c r="F14" s="831"/>
      <c r="G14" s="805" t="str">
        <f>IF('Fuel Converter'!D23=TRUE, 'Fuel Converter'!A32, "-")</f>
        <v>-</v>
      </c>
      <c r="H14" s="806"/>
      <c r="I14" s="807"/>
      <c r="J14" s="222" t="str">
        <f>IF('Fuel Converter'!D23=TRUE, 'Fuel Converter'!B32, "-")</f>
        <v>-</v>
      </c>
      <c r="K14" s="253" t="str">
        <f>IF(AND(G14="-",J14="-"),"-",SUM(G14:J14))</f>
        <v>-</v>
      </c>
      <c r="L14" s="756"/>
      <c r="M14" t="str">
        <f>template_label_energy_consumption_warning</f>
        <v>ℹ️ Veuillez noter que la formule présente dans cette cellule peut être écrasée si l'entité souhaite fournir directement la valeur.</v>
      </c>
    </row>
    <row r="15" spans="1:13" ht="15" thickBot="1" x14ac:dyDescent="0.35"/>
    <row r="16" spans="1:13" ht="28.5" customHeight="1" thickBot="1" x14ac:dyDescent="0.35">
      <c r="C16" s="661" t="str">
        <f>template_label_b3_estimated_greenhouse_gas_emissions&amp; " "&amp;template_label_always_to_be_reported</f>
        <v xml:space="preserve">B3 - Estimations des émissions de gaz à effet de serre en prenant en considération la norme du protocole des GES relative aux entreprises (GHG Protocol) (version 2004) (en tCO₂e) [Toujours à reporter] 
</v>
      </c>
      <c r="D16" s="789"/>
      <c r="E16" s="789"/>
      <c r="F16" s="790"/>
      <c r="G16" s="791" t="str">
        <f>template_label_c3_ghg_reduction_targets&amp;" "&amp;template_label_if_applicable</f>
        <v>Cibles de réduction des émissions de GES (en tCO₂e) [Le cas échéant]</v>
      </c>
      <c r="H16" s="792"/>
      <c r="I16" s="792"/>
      <c r="J16" s="792"/>
      <c r="K16" s="793"/>
    </row>
    <row r="17" spans="1:21" x14ac:dyDescent="0.3">
      <c r="C17" s="636">
        <v>30</v>
      </c>
      <c r="D17" s="783"/>
      <c r="E17" s="783"/>
      <c r="F17" s="784"/>
      <c r="G17" s="810" t="s">
        <v>31</v>
      </c>
      <c r="H17" s="783"/>
      <c r="I17" s="783"/>
      <c r="J17" s="393" t="s">
        <v>32</v>
      </c>
      <c r="K17" s="394" t="s">
        <v>33</v>
      </c>
    </row>
    <row r="18" spans="1:21" x14ac:dyDescent="0.3">
      <c r="C18" s="396" t="s">
        <v>8</v>
      </c>
      <c r="D18" s="622" t="s">
        <v>34</v>
      </c>
      <c r="E18" s="622"/>
      <c r="F18" s="741"/>
      <c r="G18" s="811" t="s">
        <v>35</v>
      </c>
      <c r="H18" s="622"/>
      <c r="I18" s="622"/>
      <c r="J18" s="381" t="s">
        <v>35</v>
      </c>
      <c r="K18" s="383" t="s">
        <v>35</v>
      </c>
    </row>
    <row r="19" spans="1:21" ht="30" customHeight="1" x14ac:dyDescent="0.3">
      <c r="C19" s="832"/>
      <c r="D19" s="833"/>
      <c r="E19" s="833"/>
      <c r="F19" s="834"/>
      <c r="G19" s="767" t="str">
        <f>template_label_has_the_undertaking_has_established_ghg_emission_reduction_targets</f>
        <v>L'entreprise a-t-elle établi des cibles de réduction des émissions de GES ?</v>
      </c>
      <c r="H19" s="768"/>
      <c r="I19" s="768"/>
      <c r="J19" s="149" t="b">
        <v>0</v>
      </c>
      <c r="K19" s="96"/>
    </row>
    <row r="20" spans="1:21" ht="28.8" x14ac:dyDescent="0.3">
      <c r="C20" s="94"/>
      <c r="D20" s="815" t="str">
        <f>template_label_current_reporting_period</f>
        <v>Période de reporting actuelle</v>
      </c>
      <c r="E20" s="815"/>
      <c r="F20" s="838"/>
      <c r="G20" s="814" t="str">
        <f>template_label_base_year</f>
        <v>Année de référence</v>
      </c>
      <c r="H20" s="815"/>
      <c r="I20" s="815"/>
      <c r="J20" s="6" t="str">
        <f>template_label_target_year</f>
        <v>Année cible</v>
      </c>
      <c r="K20" s="47" t="str">
        <f>template_label_percentage_reduction_from_base_year</f>
        <v>Réduction en pourcentage par rapport à l’année de référence</v>
      </c>
    </row>
    <row r="21" spans="1:21" x14ac:dyDescent="0.3">
      <c r="A21" s="743" t="str">
        <f>template_label_GHG_calculator</f>
        <v>ℹ️ Consultez le site web de l’EFRAG pour une liste non exhaustive de calculateurs de GES.</v>
      </c>
      <c r="B21" s="743"/>
      <c r="C21" s="4" t="str">
        <f>template_label_year_date</f>
        <v>Année (date)</v>
      </c>
      <c r="D21" s="839" t="str">
        <f>IF('General Information'!$D$9="", "-", 'General Information'!$D$9) &amp; "  -  " &amp; IF('General Information'!$D$13="", "-", 'General Information'!$D$13)</f>
        <v>-  -  -</v>
      </c>
      <c r="E21" s="839"/>
      <c r="F21" s="840"/>
      <c r="G21" s="816"/>
      <c r="H21" s="817"/>
      <c r="I21" s="817"/>
      <c r="J21" s="123"/>
      <c r="K21" s="96"/>
      <c r="L21" s="16" t="str">
        <f>IF(AND(J19=TRUE, G21&lt;&gt;"", J21&lt;&gt;""), template_label_ok,
IF(AND(J19=TRUE, G21="", J21=""), template_label_missing_value,
IF(AND(J19=FALSE, G21="", J21=""), "",
IF(AND(J19=TRUE, OR(G21="", J21="")), template_label_missing_value, ""))))</f>
        <v/>
      </c>
    </row>
    <row r="22" spans="1:21" x14ac:dyDescent="0.3">
      <c r="A22" s="743"/>
      <c r="B22" s="743"/>
      <c r="C22" s="4" t="str">
        <f>template_label_gross_scope_1_ghg_emissions</f>
        <v>Émissions brutes de GES du scope 1</v>
      </c>
      <c r="D22" s="760"/>
      <c r="E22" s="760"/>
      <c r="F22" s="761"/>
      <c r="G22" s="804"/>
      <c r="H22" s="818"/>
      <c r="I22" s="818"/>
      <c r="J22" s="221"/>
      <c r="K22" s="97" t="str">
        <f>IF(AND(G22="", J22=""), "-", IFERROR(-(1 - (J22 / G22)), "-"))</f>
        <v>-</v>
      </c>
      <c r="L22" s="16" t="str">
        <f>IF(OR(
'Table of Contents &amp; Validation'!D23=TRUE,'Table of Contents &amp; Validation'!D20=TRUE),
IF(AND(OR(BasisForPreparation="Option A (Basic Module Only)", BasisForPreparation="Option B (Basic Module and Comprehensive Module)"), D22="", J19=FALSE), "",
IF(AND(OR(BasisForPreparation="Option A (Basic Module Only)", BasisForPreparation="Option B (Basic Module and Comprehensive Module)"), D22&lt;&gt;"", G22&lt;&gt;"", J22&lt;&gt;"", J19=TRUE), template_label_ok,
IF(AND(BasisForPreparation="Option A (Basic Module Only)", D22&lt;&gt;"", OR(G22="", J22=""), J19=FALSE), template_label_ok,
IF(AND(BasisForPreparation="Option A (Basic Module Only)", D22&lt;&gt;"", OR(G22="", J22=""), J19=TRUE), template_label_missing_value,
IF(AND(BasisForPreparation="Option B (Basic Module and Comprehensive Module)", D22&lt;&gt;"", OR(G22="", J22=""), J19=TRUE), template_label_missing_value,
IF(AND(BasisForPreparation="Option B (Basic Module and Comprehensive Module)", D22="", OR(G22="", J22=""), J19=TRUE), template_label_missing_value,
IF(AND(BasisForPreparation="Option A (Basic Module Only)", D22&lt;&gt;"", G22="", J22="", J19=FALSE), template_label_ok,
IF(AND(BasisForPreparation="Option B (Basic Module and Comprehensive Module)", D22&lt;&gt;"", G22="", J22="", J19=FALSE), template_label_ok,
IF(OR(BasisForPreparation="", D22="", G22="", J22="", J19=FALSE), "", template_label_missing_value))))))))),
IF(AND(OR(BasisForPreparation="Option A (Basic Module Only)", BasisForPreparation="Option B (Basic Module and Comprehensive Module)"), D22="", J19=FALSE), template_label_missing_value,
IF(AND(OR(BasisForPreparation="Option A (Basic Module Only)", BasisForPreparation="Option B (Basic Module and Comprehensive Module)"), D22&lt;&gt;"", G22&lt;&gt;"", J22&lt;&gt;"", J19=TRUE), template_label_ok,
IF(AND(BasisForPreparation="Option A (Basic Module Only)", D22&lt;&gt;"", OR(G22="", J22=""), J19=FALSE), template_label_ok,
IF(AND(BasisForPreparation="Option A (Basic Module Only)", D22&lt;&gt;"", OR(G22="", J22=""), J19=TRUE), template_label_missing_value,
IF(AND(BasisForPreparation="Option B (Basic Module and Comprehensive Module)", D22&lt;&gt;"", OR(G22="", J22=""), J19=TRUE), template_label_missing_value,
IF(AND(BasisForPreparation="Option B (Basic Module and Comprehensive Module)", D22="", OR(G22="", J22=""), J19=TRUE), template_label_missing_value,
IF(AND(BasisForPreparation="Option A (Basic Module Only)", D22&lt;&gt;"", G22="", J22="", J19=FALSE), template_label_ok,
IF(AND(BasisForPreparation="Option B (Basic Module and Comprehensive Module)", D22&lt;&gt;"", G22="", J22="", J19=FALSE), template_label_ok,
IF(OR(BasisForPreparation="", D22="", G22="", J22="", J19=FALSE), "", template_label_missing_value)))))))))
)</f>
        <v/>
      </c>
    </row>
    <row r="23" spans="1:21" x14ac:dyDescent="0.3">
      <c r="A23" s="743"/>
      <c r="B23" s="743"/>
      <c r="C23" s="4" t="str">
        <f>template_label_gross_scope_2_location_based_ghg_emissions</f>
        <v>Émissions brutes de GES du scope 2 basées sur la localisation</v>
      </c>
      <c r="D23" s="760"/>
      <c r="E23" s="760"/>
      <c r="F23" s="761"/>
      <c r="G23" s="804"/>
      <c r="H23" s="818"/>
      <c r="I23" s="818"/>
      <c r="J23" s="221"/>
      <c r="K23" s="97" t="str">
        <f t="shared" ref="K23:K26" si="0">IF(AND(G23="", J23=""), "-", IFERROR(-(1 - (J23 / G23)), "-"))</f>
        <v>-</v>
      </c>
      <c r="L23" s="16" t="str">
        <f>IF(OR(
'Table of Contents &amp; Validation'!D23=TRUE,'Table of Contents &amp; Validation'!D20=TRUE),
IF(AND(OR(BasisForPreparation="Option A (Basic Module Only)", BasisForPreparation="Option B (Basic Module and Comprehensive Module)"), D23="", J19=FALSE), "",
IF(AND(OR(BasisForPreparation="Option A (Basic Module Only)", BasisForPreparation="Option B (Basic Module and Comprehensive Module)"), D23&lt;&gt;"", G23&lt;&gt;"", J23&lt;&gt;"", J19=TRUE), template_label_ok,
IF(AND(BasisForPreparation="Option A (Basic Module Only)", D23&lt;&gt;"", OR(G23="", J23=""), J19=FALSE), template_label_ok,
IF(AND(BasisForPreparation="Option A (Basic Module Only)", D23&lt;&gt;"", OR(G23="", J23=""), J19=TRUE), template_label_missing_value,
IF(AND(BasisForPreparation="Option B (Basic Module and Comprehensive Module)", D23&lt;&gt;"", OR(G23="", J23=""), J19=TRUE), template_label_missing_value,
IF(AND(BasisForPreparation="Option B (Basic Module and Comprehensive Module)", D23="", OR(G23="", J23=""), J19=TRUE), template_label_missing_value,
IF(AND(BasisForPreparation="Option A (Basic Module Only)", D23&lt;&gt;"", G23="", J23="", J19=FALSE), template_label_ok,
IF(AND(BasisForPreparation="Option B (Basic Module and Comprehensive Module)", D23&lt;&gt;"", G23="", J23="", J19=FALSE), template_label_ok,
IF(OR(BasisForPreparation="", D23="", G23="", J23="", J19=FALSE), "", template_label_missing_value))))))))),
IF(AND(OR(BasisForPreparation="Option A (Basic Module Only)", BasisForPreparation="Option B (Basic Module and Comprehensive Module)"), D23="", J19=FALSE), template_label_missing_value,
IF(AND(OR(BasisForPreparation="Option A (Basic Module Only)", BasisForPreparation="Option B (Basic Module and Comprehensive Module)"), D23&lt;&gt;"", G23&lt;&gt;"", J23&lt;&gt;"", J19=TRUE), template_label_ok,
IF(AND(BasisForPreparation="Option A (Basic Module Only)", D23&lt;&gt;"", OR(G23="", J23=""), J19=FALSE), template_label_ok,
IF(AND(BasisForPreparation="Option A (Basic Module Only)", D23&lt;&gt;"", OR(G23="", J23=""), J19=TRUE), template_label_missing_value,
IF(AND(BasisForPreparation="Option B (Basic Module and Comprehensive Module)", D23&lt;&gt;"", OR(G23="", J23=""), J19=TRUE), template_label_missing_value,
IF(AND(BasisForPreparation="Option B (Basic Module and Comprehensive Module)", D23="", OR(G23="", J23=""), J19=TRUE), template_label_missing_value,
IF(AND(BasisForPreparation="Option A (Basic Module Only)", D23&lt;&gt;"", G23="", J23="", J19=FALSE), template_label_ok,
IF(AND(BasisForPreparation="Option B (Basic Module and Comprehensive Module)", D23&lt;&gt;"", G23="", J23="", J19=FALSE), template_label_ok,
IF(OR(BasisForPreparation="", D23="", G23="", J23="", J19=FALSE), "", template_label_missing_value)))))))))
)</f>
        <v/>
      </c>
    </row>
    <row r="24" spans="1:21" x14ac:dyDescent="0.3">
      <c r="A24" s="743"/>
      <c r="B24" s="743"/>
      <c r="C24" s="4" t="str">
        <f>template_label_gross_scope_2_market_based_ghg_emissions &amp; " - " &amp; template_label_may_not_headline</f>
        <v>Émissions brutes de GES du scope 2 basées sur le marché - peut (facultatif)</v>
      </c>
      <c r="D24" s="760"/>
      <c r="E24" s="760"/>
      <c r="F24" s="761"/>
      <c r="G24" s="804"/>
      <c r="H24" s="818"/>
      <c r="I24" s="818"/>
      <c r="J24" s="221"/>
      <c r="K24" s="97" t="str">
        <f t="shared" si="0"/>
        <v>-</v>
      </c>
      <c r="L24" s="16" t="str">
        <f>IF(D24&lt;&gt;"",
    IF(AND(G24="", J24=""), template_label_ok,
       IF(AND(G24&lt;&gt;"", J24=""), template_label_missing_value, template_label_ok)
    ),
"")</f>
        <v/>
      </c>
    </row>
    <row r="25" spans="1:21" x14ac:dyDescent="0.3">
      <c r="A25" s="743"/>
      <c r="B25" s="743"/>
      <c r="C25" s="4" t="str">
        <f>template_label_total_scope_1_and_scope_2_ghg_emissions_location_based</f>
        <v>Émissions totales de GES des scopes 1 et 2 (approche basée sur la localisation)</v>
      </c>
      <c r="D25" s="763" t="str">
        <f>IF(AND(D22="",D23=""),"-",SUM(D22,D23))</f>
        <v>-</v>
      </c>
      <c r="E25" s="763"/>
      <c r="F25" s="764"/>
      <c r="G25" s="914" t="str">
        <f>IF(AND(G22="",G23=""),"-",SUM(G22,G23))</f>
        <v>-</v>
      </c>
      <c r="H25" s="763"/>
      <c r="I25" s="763"/>
      <c r="J25" s="395" t="str">
        <f>IF(AND(J22="",J23=""),"-",SUM(J22,J23))</f>
        <v>-</v>
      </c>
      <c r="K25" s="97" t="str">
        <f t="shared" si="0"/>
        <v>-</v>
      </c>
    </row>
    <row r="26" spans="1:21" ht="15" thickBot="1" x14ac:dyDescent="0.35">
      <c r="A26" s="743"/>
      <c r="B26" s="743"/>
      <c r="C26" s="49" t="str">
        <f>template_label_total_scope_1_and_scope_2_ghg_emissions_market_based &amp; " - " &amp; template_label_may_not_headline</f>
        <v>Émissions totales de GES des scopes 1 et 2 (approche basée sur le marché) - peut (facultatif)</v>
      </c>
      <c r="D26" s="765" t="str">
        <f>IF(OR(D22="",D24=""),"-",SUM(D22,D24))</f>
        <v>-</v>
      </c>
      <c r="E26" s="765"/>
      <c r="F26" s="766"/>
      <c r="G26" s="915" t="str">
        <f>IF(OR(G22="",G24=""),"-",SUM(G22,G24))</f>
        <v>-</v>
      </c>
      <c r="H26" s="765"/>
      <c r="I26" s="765"/>
      <c r="J26" s="397" t="str">
        <f>IF(OR(J22="",J24=""),"-",SUM(J22,J24))</f>
        <v>-</v>
      </c>
      <c r="K26" s="398" t="str">
        <f t="shared" si="0"/>
        <v>-</v>
      </c>
    </row>
    <row r="27" spans="1:21" x14ac:dyDescent="0.3">
      <c r="C27" s="894" t="s">
        <v>36</v>
      </c>
      <c r="D27" s="820"/>
      <c r="E27" s="820"/>
      <c r="F27" s="895"/>
      <c r="G27" s="819">
        <v>54</v>
      </c>
      <c r="H27" s="820"/>
      <c r="I27" s="820"/>
      <c r="J27" s="820"/>
      <c r="K27" s="98"/>
    </row>
    <row r="28" spans="1:21" x14ac:dyDescent="0.3">
      <c r="C28" s="396" t="s">
        <v>8</v>
      </c>
      <c r="D28" s="622" t="s">
        <v>37</v>
      </c>
      <c r="E28" s="622"/>
      <c r="F28" s="741"/>
      <c r="G28" s="822" t="s">
        <v>8</v>
      </c>
      <c r="H28" s="823"/>
      <c r="I28" s="823"/>
      <c r="J28" s="380" t="s">
        <v>8</v>
      </c>
      <c r="K28" s="399"/>
    </row>
    <row r="29" spans="1:21" ht="22.2" customHeight="1" x14ac:dyDescent="0.3">
      <c r="C29" s="835" t="str">
        <f>template_label_is_the_undertaking_disclosing_entity_specific_information_on_scope_3_emissions</f>
        <v>L'entreprise publie-t-elle des informations spécifiques à l’entité sur les émissions du scope 3 (en tCO₂e) ?</v>
      </c>
      <c r="D29" s="836"/>
      <c r="E29" s="836"/>
      <c r="F29" s="837"/>
      <c r="G29" s="821" t="b">
        <v>0</v>
      </c>
      <c r="H29" s="771"/>
      <c r="I29" s="771"/>
      <c r="J29" s="771"/>
      <c r="K29" s="652"/>
    </row>
    <row r="30" spans="1:21" ht="14.7" customHeight="1" x14ac:dyDescent="0.3">
      <c r="C30" s="91" t="str">
        <f>template_label_1_purchased_goods_and_services</f>
        <v>1. Biens et services achetés</v>
      </c>
      <c r="D30" s="730"/>
      <c r="E30" s="730"/>
      <c r="F30" s="759"/>
      <c r="G30" s="755"/>
      <c r="H30" s="730"/>
      <c r="I30" s="730"/>
      <c r="J30" s="225"/>
      <c r="K30" s="248" t="str">
        <f>IF(OR(G30="", J30=""), "-", IFERROR(-(1 - (J30 / G30)), "-"))</f>
        <v>-</v>
      </c>
      <c r="L30" s="756" t="str" cm="1">
        <f t="array" ref="L30">IF(
   OR(
      SUMPRODUCT((G30:G44&lt;&gt;"")*(J30:J44="")) &gt; 0,
      SUMPRODUCT((J30:J44&lt;&gt;"")*(G30:G44="")) &gt; 0
   ),
   template_label_missing_value,
   IF(
      AND(G29=TRUE, COUNTA(D30:F44)=0),
      template_label_missing_value,
      IF(G29=FALSE, "", template_label_ok)
   )
)</f>
        <v/>
      </c>
      <c r="M30" s="744" t="str">
        <f>template_label_scope_3_categories_warning</f>
        <v xml:space="preserve">ℹ️ Les catégories du scope 3 selon le protocole GES (GHG Protocol) peuvent aider à calculer les émissions totales de GES du scope 3. Si l'entreprise le souhaite, elle peut directement fournir les émissions totales de GES du scope 3 dans la cellule correspondante. </v>
      </c>
      <c r="N30" s="744"/>
      <c r="O30" s="744"/>
      <c r="P30" s="744"/>
      <c r="Q30" s="744"/>
      <c r="R30" s="744"/>
      <c r="S30" s="744"/>
      <c r="T30" s="744"/>
      <c r="U30" s="744"/>
    </row>
    <row r="31" spans="1:21" x14ac:dyDescent="0.3">
      <c r="C31" s="91" t="str">
        <f>template_label_2_capital_goods</f>
        <v>2. Biens d'investissement</v>
      </c>
      <c r="D31" s="730"/>
      <c r="E31" s="730"/>
      <c r="F31" s="759"/>
      <c r="G31" s="755"/>
      <c r="H31" s="730"/>
      <c r="I31" s="730"/>
      <c r="J31" s="225"/>
      <c r="K31" s="248" t="str">
        <f t="shared" ref="K31:K44" si="1">IF(OR(G31="", J31=""), "-", IFERROR(-(1 - (J31 / G31)), "-"))</f>
        <v>-</v>
      </c>
      <c r="L31" s="756"/>
      <c r="M31" s="744"/>
      <c r="N31" s="744"/>
      <c r="O31" s="744"/>
      <c r="P31" s="744"/>
      <c r="Q31" s="744"/>
      <c r="R31" s="744"/>
      <c r="S31" s="744"/>
      <c r="T31" s="744"/>
      <c r="U31" s="744"/>
    </row>
    <row r="32" spans="1:21" x14ac:dyDescent="0.3">
      <c r="C32" s="91" t="str">
        <f>template_label_3_fuel__and_energy_related_activities</f>
        <v>3. Activités relevant des secteurs des combustibles et de l’énergie (non incluses dans les scopes 1 et 2)</v>
      </c>
      <c r="D32" s="730"/>
      <c r="E32" s="730"/>
      <c r="F32" s="759"/>
      <c r="G32" s="755"/>
      <c r="H32" s="730"/>
      <c r="I32" s="730"/>
      <c r="J32" s="225"/>
      <c r="K32" s="248" t="str">
        <f t="shared" si="1"/>
        <v>-</v>
      </c>
      <c r="L32" s="756"/>
      <c r="M32" s="744"/>
      <c r="N32" s="744"/>
      <c r="O32" s="744"/>
      <c r="P32" s="744"/>
      <c r="Q32" s="744"/>
      <c r="R32" s="744"/>
      <c r="S32" s="744"/>
      <c r="T32" s="744"/>
      <c r="U32" s="744"/>
    </row>
    <row r="33" spans="3:21" x14ac:dyDescent="0.3">
      <c r="C33" s="91" t="str">
        <f>template_label_4_upstream_transportation_and_distribution</f>
        <v xml:space="preserve">4. Transport et distribution en amont </v>
      </c>
      <c r="D33" s="730"/>
      <c r="E33" s="730"/>
      <c r="F33" s="759"/>
      <c r="G33" s="755"/>
      <c r="H33" s="730"/>
      <c r="I33" s="730"/>
      <c r="J33" s="225"/>
      <c r="K33" s="248" t="str">
        <f t="shared" si="1"/>
        <v>-</v>
      </c>
      <c r="L33" s="756"/>
      <c r="M33" s="744"/>
      <c r="N33" s="744"/>
      <c r="O33" s="744"/>
      <c r="P33" s="744"/>
      <c r="Q33" s="744"/>
      <c r="R33" s="744"/>
      <c r="S33" s="744"/>
      <c r="T33" s="744"/>
      <c r="U33" s="744"/>
    </row>
    <row r="34" spans="3:21" x14ac:dyDescent="0.3">
      <c r="C34" s="91" t="str">
        <f>template_label_5_waste_generated_in_operations</f>
        <v>5. Déchets produits lors de l’exploitation</v>
      </c>
      <c r="D34" s="730"/>
      <c r="E34" s="730"/>
      <c r="F34" s="759"/>
      <c r="G34" s="755"/>
      <c r="H34" s="730"/>
      <c r="I34" s="730"/>
      <c r="J34" s="225"/>
      <c r="K34" s="248" t="str">
        <f t="shared" si="1"/>
        <v>-</v>
      </c>
      <c r="L34" s="756"/>
      <c r="M34" s="744"/>
      <c r="N34" s="744"/>
      <c r="O34" s="744"/>
      <c r="P34" s="744"/>
      <c r="Q34" s="744"/>
      <c r="R34" s="744"/>
      <c r="S34" s="744"/>
      <c r="T34" s="744"/>
      <c r="U34" s="744"/>
    </row>
    <row r="35" spans="3:21" x14ac:dyDescent="0.3">
      <c r="C35" s="91" t="str">
        <f>template_label_6_business_travel</f>
        <v>6. Voyages d’affaires</v>
      </c>
      <c r="D35" s="730"/>
      <c r="E35" s="730"/>
      <c r="F35" s="759"/>
      <c r="G35" s="755"/>
      <c r="H35" s="730"/>
      <c r="I35" s="730"/>
      <c r="J35" s="225"/>
      <c r="K35" s="248" t="str">
        <f t="shared" si="1"/>
        <v>-</v>
      </c>
      <c r="L35" s="756"/>
      <c r="M35" s="744"/>
      <c r="N35" s="744"/>
      <c r="O35" s="744"/>
      <c r="P35" s="744"/>
      <c r="Q35" s="744"/>
      <c r="R35" s="744"/>
      <c r="S35" s="744"/>
      <c r="T35" s="744"/>
      <c r="U35" s="744"/>
    </row>
    <row r="36" spans="3:21" x14ac:dyDescent="0.3">
      <c r="C36" s="91" t="str">
        <f>template_label_7_employee_commuting</f>
        <v>7. Déplacements domicile-travail des salariés</v>
      </c>
      <c r="D36" s="730"/>
      <c r="E36" s="730"/>
      <c r="F36" s="759"/>
      <c r="G36" s="755"/>
      <c r="H36" s="730"/>
      <c r="I36" s="730"/>
      <c r="J36" s="225"/>
      <c r="K36" s="248" t="str">
        <f t="shared" si="1"/>
        <v>-</v>
      </c>
      <c r="L36" s="756"/>
      <c r="M36" s="744"/>
      <c r="N36" s="744"/>
      <c r="O36" s="744"/>
      <c r="P36" s="744"/>
      <c r="Q36" s="744"/>
      <c r="R36" s="744"/>
      <c r="S36" s="744"/>
      <c r="T36" s="744"/>
      <c r="U36" s="744"/>
    </row>
    <row r="37" spans="3:21" x14ac:dyDescent="0.3">
      <c r="C37" s="91" t="str">
        <f>template_label_8_upstream_leased_assets</f>
        <v>8. Actifs loués en amont</v>
      </c>
      <c r="D37" s="730"/>
      <c r="E37" s="730"/>
      <c r="F37" s="759"/>
      <c r="G37" s="755"/>
      <c r="H37" s="730"/>
      <c r="I37" s="730"/>
      <c r="J37" s="225"/>
      <c r="K37" s="248" t="str">
        <f t="shared" si="1"/>
        <v>-</v>
      </c>
      <c r="L37" s="756"/>
      <c r="M37" s="744"/>
      <c r="N37" s="744"/>
      <c r="O37" s="744"/>
      <c r="P37" s="744"/>
      <c r="Q37" s="744"/>
      <c r="R37" s="744"/>
      <c r="S37" s="744"/>
      <c r="T37" s="744"/>
      <c r="U37" s="744"/>
    </row>
    <row r="38" spans="3:21" x14ac:dyDescent="0.3">
      <c r="C38" s="91" t="str">
        <f>template_label_9_downstream_transportation_and_distribution</f>
        <v>9. Acheminement en aval</v>
      </c>
      <c r="D38" s="730"/>
      <c r="E38" s="730"/>
      <c r="F38" s="759"/>
      <c r="G38" s="755"/>
      <c r="H38" s="730"/>
      <c r="I38" s="730"/>
      <c r="J38" s="225"/>
      <c r="K38" s="248" t="str">
        <f t="shared" si="1"/>
        <v>-</v>
      </c>
      <c r="L38" s="756"/>
      <c r="M38" s="744"/>
      <c r="N38" s="744"/>
      <c r="O38" s="744"/>
      <c r="P38" s="744"/>
      <c r="Q38" s="744"/>
      <c r="R38" s="744"/>
      <c r="S38" s="744"/>
      <c r="T38" s="744"/>
      <c r="U38" s="744"/>
    </row>
    <row r="39" spans="3:21" x14ac:dyDescent="0.3">
      <c r="C39" s="91" t="str">
        <f>template_label_10_processing_of_sold_products</f>
        <v>10. Transformation des produits vendus</v>
      </c>
      <c r="D39" s="730"/>
      <c r="E39" s="730"/>
      <c r="F39" s="759"/>
      <c r="G39" s="755"/>
      <c r="H39" s="730"/>
      <c r="I39" s="730"/>
      <c r="J39" s="225"/>
      <c r="K39" s="248" t="str">
        <f t="shared" si="1"/>
        <v>-</v>
      </c>
      <c r="L39" s="756"/>
      <c r="M39" s="744"/>
      <c r="N39" s="744"/>
      <c r="O39" s="744"/>
      <c r="P39" s="744"/>
      <c r="Q39" s="744"/>
      <c r="R39" s="744"/>
      <c r="S39" s="744"/>
      <c r="T39" s="744"/>
      <c r="U39" s="744"/>
    </row>
    <row r="40" spans="3:21" x14ac:dyDescent="0.3">
      <c r="C40" s="91" t="str">
        <f>template_label_11_use_of_sold_products</f>
        <v>11. Utilisation des produits vendus</v>
      </c>
      <c r="D40" s="730"/>
      <c r="E40" s="730"/>
      <c r="F40" s="759"/>
      <c r="G40" s="755"/>
      <c r="H40" s="730"/>
      <c r="I40" s="730"/>
      <c r="J40" s="225"/>
      <c r="K40" s="248" t="str">
        <f t="shared" si="1"/>
        <v>-</v>
      </c>
      <c r="L40" s="756"/>
      <c r="M40" s="744"/>
      <c r="N40" s="744"/>
      <c r="O40" s="744"/>
      <c r="P40" s="744"/>
      <c r="Q40" s="744"/>
      <c r="R40" s="744"/>
      <c r="S40" s="744"/>
      <c r="T40" s="744"/>
      <c r="U40" s="744"/>
    </row>
    <row r="41" spans="3:21" x14ac:dyDescent="0.3">
      <c r="C41" s="91" t="str">
        <f>template_label_12_end_of_life_treatment_of_sold_products</f>
        <v>12. Traitement en fin de vie des produits vendus</v>
      </c>
      <c r="D41" s="730"/>
      <c r="E41" s="730"/>
      <c r="F41" s="759"/>
      <c r="G41" s="755"/>
      <c r="H41" s="730"/>
      <c r="I41" s="730"/>
      <c r="J41" s="225"/>
      <c r="K41" s="248" t="str">
        <f t="shared" si="1"/>
        <v>-</v>
      </c>
      <c r="L41" s="756"/>
      <c r="M41" s="744"/>
      <c r="N41" s="744"/>
      <c r="O41" s="744"/>
      <c r="P41" s="744"/>
      <c r="Q41" s="744"/>
      <c r="R41" s="744"/>
      <c r="S41" s="744"/>
      <c r="T41" s="744"/>
      <c r="U41" s="744"/>
    </row>
    <row r="42" spans="3:21" x14ac:dyDescent="0.3">
      <c r="C42" s="91" t="str">
        <f>template_label_13_downstream_leased_assets</f>
        <v>13. Actifs loués en aval</v>
      </c>
      <c r="D42" s="730"/>
      <c r="E42" s="730"/>
      <c r="F42" s="759"/>
      <c r="G42" s="755"/>
      <c r="H42" s="730"/>
      <c r="I42" s="730"/>
      <c r="J42" s="225"/>
      <c r="K42" s="248" t="str">
        <f t="shared" si="1"/>
        <v>-</v>
      </c>
      <c r="L42" s="756"/>
      <c r="M42" s="744"/>
      <c r="N42" s="744"/>
      <c r="O42" s="744"/>
      <c r="P42" s="744"/>
      <c r="Q42" s="744"/>
      <c r="R42" s="744"/>
      <c r="S42" s="744"/>
      <c r="T42" s="744"/>
      <c r="U42" s="744"/>
    </row>
    <row r="43" spans="3:21" x14ac:dyDescent="0.3">
      <c r="C43" s="91" t="str">
        <f>template_label_14_franchises</f>
        <v>14. Franchises</v>
      </c>
      <c r="D43" s="730"/>
      <c r="E43" s="730"/>
      <c r="F43" s="759"/>
      <c r="G43" s="755"/>
      <c r="H43" s="730"/>
      <c r="I43" s="730"/>
      <c r="J43" s="225"/>
      <c r="K43" s="248" t="str">
        <f t="shared" si="1"/>
        <v>-</v>
      </c>
      <c r="L43" s="756"/>
      <c r="M43" s="744"/>
      <c r="N43" s="744"/>
      <c r="O43" s="744"/>
      <c r="P43" s="744"/>
      <c r="Q43" s="744"/>
      <c r="R43" s="744"/>
      <c r="S43" s="744"/>
      <c r="T43" s="744"/>
      <c r="U43" s="744"/>
    </row>
    <row r="44" spans="3:21" x14ac:dyDescent="0.3">
      <c r="C44" s="91" t="str">
        <f>template_label_15_investments</f>
        <v>15. Investissements</v>
      </c>
      <c r="D44" s="730"/>
      <c r="E44" s="730"/>
      <c r="F44" s="759"/>
      <c r="G44" s="755"/>
      <c r="H44" s="730"/>
      <c r="I44" s="730"/>
      <c r="J44" s="225"/>
      <c r="K44" s="248" t="str">
        <f t="shared" si="1"/>
        <v>-</v>
      </c>
      <c r="L44" s="756"/>
      <c r="M44" s="744"/>
      <c r="N44" s="744"/>
      <c r="O44" s="744"/>
      <c r="P44" s="744"/>
      <c r="Q44" s="744"/>
      <c r="R44" s="744"/>
      <c r="S44" s="744"/>
      <c r="T44" s="744"/>
      <c r="U44" s="744"/>
    </row>
    <row r="45" spans="3:21" ht="15" thickBot="1" x14ac:dyDescent="0.35">
      <c r="C45" s="99" t="str">
        <f>template_label_total_scope_3_ghg_emissions</f>
        <v>Émissions totales de GES du scope 3</v>
      </c>
      <c r="D45" s="758" t="str">
        <f>IF(AND(G29=FALSE, COUNTA(D30:F44)=0), "-", IF(G29=TRUE, IF(SUM(D30:F44)=0, "-", SUM(D30:F44)), "-"))</f>
        <v>-</v>
      </c>
      <c r="E45" s="758"/>
      <c r="F45" s="762"/>
      <c r="G45" s="757" t="str">
        <f>IF(AND(G29=FALSE, COUNTA(G30:I44)=0), "-", IF(G29=TRUE, IF(SUM(G30:I44)=0, "-", SUM(G30:I44)), "-"))</f>
        <v>-</v>
      </c>
      <c r="H45" s="758"/>
      <c r="I45" s="758"/>
      <c r="J45" s="226" t="str">
        <f>IF(AND(G29=FALSE, COUNTA(J30:J44)=0), "-", IF(G29=TRUE, IF(SUM(J30:J44)=0, "-", SUM(J30:J44)), "-"))</f>
        <v>-</v>
      </c>
      <c r="K45" s="197" t="str">
        <f t="shared" ref="K45:K47" si="2">IF(AND(G45="", J45=""), "-", IFERROR(-(1 - (J45 / G45)), "-"))</f>
        <v>-</v>
      </c>
      <c r="L45" s="16"/>
      <c r="M45" s="744"/>
      <c r="N45" s="744"/>
      <c r="O45" s="744"/>
      <c r="P45" s="744"/>
      <c r="Q45" s="744"/>
      <c r="R45" s="744"/>
      <c r="S45" s="744"/>
      <c r="T45" s="744"/>
      <c r="U45" s="744"/>
    </row>
    <row r="46" spans="3:21" x14ac:dyDescent="0.3">
      <c r="C46" s="13" t="str">
        <f>template_label_total_scope_1_scope_2_and_scope_3_ghg_emissions_location_based</f>
        <v>Émissions totales de GES des scopes 1, 2 et 3 (approche basée sur la localisation)</v>
      </c>
      <c r="D46" s="875" t="str">
        <f>IF(G29=FALSE, "-", IF(AND(D22="", D23="", D45=""), "-", IF(SUM(D22, D23, D45)=0, "-", SUM(D22, D23, D45))))</f>
        <v>-</v>
      </c>
      <c r="E46" s="875"/>
      <c r="F46" s="916"/>
      <c r="G46" s="874" t="str">
        <f>IF(G29=FALSE, "-", IF(AND(G22="", G23="", G45=""), "-", IF(SUM(G22, G23, G45)=0, "-", SUM(G22, G23, G45))))</f>
        <v>-</v>
      </c>
      <c r="H46" s="875"/>
      <c r="I46" s="875"/>
      <c r="J46" s="223" t="str">
        <f>IF(G29=FALSE, "-", IF(AND(J22="", J23="", J45=""), "-", IF(SUM(J22, J23, J45)=0, "-", SUM(J22, J23, J45))))</f>
        <v>-</v>
      </c>
      <c r="K46" s="198" t="str">
        <f t="shared" si="2"/>
        <v>-</v>
      </c>
      <c r="M46" s="346"/>
      <c r="N46" s="346"/>
      <c r="O46" s="346"/>
      <c r="P46" s="346"/>
      <c r="Q46" s="346"/>
      <c r="R46" s="346"/>
      <c r="S46" s="346"/>
      <c r="T46" s="346"/>
    </row>
    <row r="47" spans="3:21" ht="15" thickBot="1" x14ac:dyDescent="0.35">
      <c r="C47" s="100" t="str">
        <f>template_label_total_scope_1_scope_2_and_scope_3_ghg_emissions_market_based &amp; " - " &amp; template_label_may_not_headline</f>
        <v>Émissions totales de GES des scopes 1, 2 et 3 (approche basée sur le marché) - peut (facultatif)</v>
      </c>
      <c r="D47" s="876" t="str">
        <f>IF(G29=FALSE,"-",IF(OR(D22="",D24="",D45=""),"-",SUM(D22,D24,D45)))</f>
        <v>-</v>
      </c>
      <c r="E47" s="877"/>
      <c r="F47" s="878"/>
      <c r="G47" s="879" t="str">
        <f>IF(G29=FALSE, "-", IF(OR(G22="", G24="", G45=""), "-", IF(SUM(G22, G24, G45)=0, "-", SUM(G22, G24, G45))))</f>
        <v>-</v>
      </c>
      <c r="H47" s="877"/>
      <c r="I47" s="880"/>
      <c r="J47" s="224" t="str">
        <f>IF(G29=FALSE, "-", IF(OR(J22="", J24="", J45=""), "-", IF(SUM(J22, J24, J45)=0, "-", SUM(J22, J24, J45))))</f>
        <v>-</v>
      </c>
      <c r="K47" s="197" t="str">
        <f t="shared" si="2"/>
        <v>-</v>
      </c>
      <c r="M47" s="346"/>
      <c r="N47" s="346"/>
      <c r="O47" s="346"/>
      <c r="P47" s="346"/>
      <c r="Q47" s="346"/>
      <c r="R47" s="346"/>
      <c r="S47" s="346"/>
      <c r="T47" s="346"/>
    </row>
    <row r="48" spans="3:21" ht="15" thickBot="1" x14ac:dyDescent="0.35">
      <c r="C48" s="101"/>
      <c r="D48" s="101"/>
      <c r="E48" s="101"/>
      <c r="F48" s="101"/>
      <c r="G48" s="101"/>
      <c r="H48" s="101"/>
      <c r="I48" s="101"/>
      <c r="J48" s="101"/>
      <c r="K48" s="101"/>
    </row>
    <row r="49" spans="1:12" ht="15" thickBot="1" x14ac:dyDescent="0.35">
      <c r="C49" s="923" t="str">
        <f>template_label_c3_disclosure_of_list_of_main_actions_the_entity_seeks_in_order_to_achieve_its_targets&amp;" "&amp;template_label_from&amp;" "&amp;template_starting_date_display&amp;" "&amp;template_label_to&amp;" "&amp;template_ending_date_display&amp;" "&amp;template_label_if_applicable</f>
        <v>C3 - Publication de la liste des principales actions que l'entreprise entend mettre en œuvre pour atteindre ses cibles du - au - [Le cas échéant]</v>
      </c>
      <c r="D49" s="924"/>
      <c r="E49" s="924"/>
      <c r="F49" s="924"/>
      <c r="G49" s="924"/>
      <c r="H49" s="924"/>
      <c r="I49" s="924"/>
      <c r="J49" s="924"/>
      <c r="K49" s="925"/>
    </row>
    <row r="50" spans="1:12" x14ac:dyDescent="0.3">
      <c r="C50" s="636" t="s">
        <v>38</v>
      </c>
      <c r="D50" s="783"/>
      <c r="E50" s="783"/>
      <c r="F50" s="783"/>
      <c r="G50" s="783"/>
      <c r="H50" s="783"/>
      <c r="I50" s="783"/>
      <c r="J50" s="783"/>
      <c r="K50" s="784"/>
    </row>
    <row r="51" spans="1:12" x14ac:dyDescent="0.3">
      <c r="C51" s="645">
        <v>159</v>
      </c>
      <c r="D51" s="622"/>
      <c r="E51" s="622"/>
      <c r="F51" s="622"/>
      <c r="G51" s="622"/>
      <c r="H51" s="622"/>
      <c r="I51" s="622"/>
      <c r="J51" s="622"/>
      <c r="K51" s="741"/>
    </row>
    <row r="52" spans="1:12" ht="15" thickBot="1" x14ac:dyDescent="0.35">
      <c r="C52" s="922"/>
      <c r="D52" s="668"/>
      <c r="E52" s="668"/>
      <c r="F52" s="668"/>
      <c r="G52" s="668"/>
      <c r="H52" s="668"/>
      <c r="I52" s="668"/>
      <c r="J52" s="668"/>
      <c r="K52" s="643"/>
      <c r="L52" s="16" t="str">
        <f>IF(AND(J19=TRUE, C52&lt;&gt;""), template_label_ok, IF(AND(J19=TRUE, C52=""), template_label_missing_value, ""))</f>
        <v/>
      </c>
    </row>
    <row r="54" spans="1:12" ht="15" thickBot="1" x14ac:dyDescent="0.35">
      <c r="C54" s="9"/>
      <c r="D54" s="9"/>
      <c r="E54" s="9"/>
      <c r="F54" s="9"/>
      <c r="G54" s="9"/>
      <c r="H54" s="9"/>
      <c r="I54" s="9"/>
      <c r="J54" s="9"/>
      <c r="K54" s="9"/>
    </row>
    <row r="55" spans="1:12" ht="89.4" customHeight="1" thickBot="1" x14ac:dyDescent="0.35">
      <c r="A55" s="714" t="str">
        <f>template_label_supporting_guidance_c3</f>
        <v>ℹ️ Guide de soutien VSME sur la divulgation C3 – Module complet (objectifs de réduction des GES et transition climatique)</v>
      </c>
      <c r="B55" s="971"/>
      <c r="C55" s="787" t="str">
        <f>template_label_c3_transition_plan_for_undertakings_operating_in_high_climate_impact_sectors&amp;" "&amp;template_label_from&amp;" "&amp;template_starting_date_display&amp;" "&amp;template_label_to&amp;" "&amp;template_ending_date_display&amp;" "&amp; template_label_if_applicable</f>
        <v>C3 - Plan de transition pour les entreprises opérant dans des secteurs à fort impact climatique du - au - [Le cas échéant]</v>
      </c>
      <c r="D55" s="787"/>
      <c r="E55" s="787"/>
      <c r="F55" s="787"/>
      <c r="G55" s="787"/>
      <c r="H55" s="787"/>
      <c r="I55" s="787"/>
      <c r="J55" s="787"/>
      <c r="K55" s="788"/>
    </row>
    <row r="56" spans="1:12" ht="38.4" customHeight="1" x14ac:dyDescent="0.3">
      <c r="A56" s="381">
        <v>55</v>
      </c>
      <c r="B56" s="382" t="s">
        <v>39</v>
      </c>
      <c r="C56" s="406" t="str">
        <f>template_label_is_the_undertaking_operating_in_high_impact_sectors</f>
        <v>L'entreprise opère-t-elle dans des secteurs à fort impact ?</v>
      </c>
      <c r="D56" s="885" t="b">
        <f>OR(
  ISNUMBER(MATCH('General Information'!E182, 'Enumeration Lists'!A3:A677, 0)),
  ISNUMBER(MATCH('General Information'!E183, 'Enumeration Lists'!A3:A677, 0)),
  ISNUMBER(MATCH('General Information'!E184, 'Enumeration Lists'!A3:A677, 0)),
  ISNUMBER(MATCH('General Information'!E185, 'Enumeration Lists'!A3:A677, 0)),
  ISNUMBER(MATCH('General Information'!E186, 'Enumeration Lists'!A3:A677, 0)),
  ISNUMBER(MATCH('General Information'!E182, 'Enumeration Lists'!A782:A791, 0)),
  ISNUMBER(MATCH('General Information'!E183, 'Enumeration Lists'!A782:A791, 0)),
  ISNUMBER(MATCH('General Information'!E184, 'Enumeration Lists'!A782:A791, 0)),
  ISNUMBER(MATCH('General Information'!E185, 'Enumeration Lists'!A782:A791, 0)),
  ISNUMBER(MATCH('General Information'!E186, 'Enumeration Lists'!A782:A791, 0))
)</f>
        <v>0</v>
      </c>
      <c r="E56" s="886"/>
      <c r="F56" s="886"/>
      <c r="G56" s="886"/>
      <c r="H56" s="886"/>
      <c r="I56" s="886"/>
      <c r="J56" s="886"/>
      <c r="K56" s="887"/>
      <c r="L56" s="16"/>
    </row>
    <row r="57" spans="1:12" x14ac:dyDescent="0.3">
      <c r="A57" s="381">
        <v>55</v>
      </c>
      <c r="B57" s="382" t="s">
        <v>39</v>
      </c>
      <c r="C57" s="91" t="str">
        <f>template_label_status_of_implementation_of_a_transition_plan_in_relation_to_climate_change_mitigation</f>
        <v>Statut de la mise en œuvre d’un plan de transition en relation avec l’atténuation du changement climatique</v>
      </c>
      <c r="D57" s="917"/>
      <c r="E57" s="918"/>
      <c r="F57" s="918"/>
      <c r="G57" s="918"/>
      <c r="H57" s="918"/>
      <c r="I57" s="918"/>
      <c r="J57" s="918"/>
      <c r="K57" s="919"/>
      <c r="L57" s="16" t="str">
        <f>IF(AND(OR(D57="A transition plan has already been adopted", D57="Adoption of a transition plan is planned in the future"), D56=TRUE),
    template_label_ok,
    IF(AND(BasisForPreparation="Option B (Basic Module and Comprehensive Module)", D57="", D56=TRUE),
       template_label_missing_value,
       ""
    )
)</f>
        <v/>
      </c>
    </row>
    <row r="58" spans="1:12" ht="28.8" x14ac:dyDescent="0.3">
      <c r="A58" s="381">
        <v>55</v>
      </c>
      <c r="B58" s="382" t="s">
        <v>39</v>
      </c>
      <c r="C58" s="102" t="str">
        <f>template_label_description_of_a_transition_plan_for_climate_change_mitigation &amp; " - " &amp; template_label_may_not_headline</f>
        <v>Description d’un plan de transition pour l’atténuation du changement climatique comprenant une explication de la manière dont il contribue à réduire les émissions de GES - peut (facultatif)</v>
      </c>
      <c r="D58" s="920"/>
      <c r="E58" s="920"/>
      <c r="F58" s="920"/>
      <c r="G58" s="920"/>
      <c r="H58" s="920"/>
      <c r="I58" s="920"/>
      <c r="J58" s="920"/>
      <c r="K58" s="921"/>
      <c r="L58" s="16" t="str">
        <f>IF(AND(D57="A transition plan has already been adopted", DescriptionOfATransitionPlanForClimateChangeMitigationIncludingAnExplanationOfHowItIsContributingToReduceGhgEmissions&lt;&gt;""), template_label_ok, "")</f>
        <v/>
      </c>
    </row>
    <row r="59" spans="1:12" x14ac:dyDescent="0.3">
      <c r="A59" s="622">
        <v>56</v>
      </c>
      <c r="B59" s="623" t="s">
        <v>39</v>
      </c>
      <c r="C59" s="746" t="str">
        <f>template_label_date_of_foreseen_adoption_of_transition_plan_for_undertaking_not_having_adopted_transition_plan_yet</f>
        <v>Date prévue d’adoption du plan de transition pour l’entreprise n’ayant pas encore adopté de plan de transition</v>
      </c>
      <c r="D59" s="749" t="str">
        <f>template_label_year</f>
        <v>Année</v>
      </c>
      <c r="E59" s="750"/>
      <c r="F59" s="750"/>
      <c r="G59" s="750"/>
      <c r="H59" s="751"/>
      <c r="I59" s="752"/>
      <c r="J59" s="753"/>
      <c r="K59" s="754"/>
      <c r="L59" s="745" t="str">
        <f>IF(AND(D57="A transition plan has already been adopted", OR(I59="", I60="", I61="")),
    "",
    IF(AND(D57="Adoption of a transition plan is planned in the future", OR(I59="", I60="", I61="")),
        template_label_missing_value,
        IF(AND(D57="", OR(I59="", I60="", I61="")),
            "",
            IF(OR(
                AND(I60=2, I61&gt;29),
                AND(I60=2, I61=29, NOT(AND(MOD(I59,4)=0, OR(MOD(I59,100)&lt;&gt;0, MOD(I59,400)=0)))),
                AND(OR(I60=4, I60=6, I60=9, I60=11), I61=31)
            ),
            template_label_error,
            template_label_ok
            )
        )
    )
)</f>
        <v/>
      </c>
    </row>
    <row r="60" spans="1:12" x14ac:dyDescent="0.3">
      <c r="A60" s="622"/>
      <c r="B60" s="623"/>
      <c r="C60" s="747"/>
      <c r="D60" s="749" t="str">
        <f>template_label_month</f>
        <v>Mois</v>
      </c>
      <c r="E60" s="750"/>
      <c r="F60" s="750"/>
      <c r="G60" s="750"/>
      <c r="H60" s="751"/>
      <c r="I60" s="752"/>
      <c r="J60" s="753"/>
      <c r="K60" s="754"/>
      <c r="L60" s="745"/>
    </row>
    <row r="61" spans="1:12" x14ac:dyDescent="0.3">
      <c r="A61" s="622"/>
      <c r="B61" s="623"/>
      <c r="C61" s="747"/>
      <c r="D61" s="749" t="str">
        <f>template_label_day</f>
        <v>Jour</v>
      </c>
      <c r="E61" s="750"/>
      <c r="F61" s="750"/>
      <c r="G61" s="750"/>
      <c r="H61" s="751"/>
      <c r="I61" s="752"/>
      <c r="J61" s="753"/>
      <c r="K61" s="754"/>
      <c r="L61" s="745"/>
    </row>
    <row r="62" spans="1:12" ht="15" thickBot="1" x14ac:dyDescent="0.35">
      <c r="A62" s="622"/>
      <c r="B62" s="623"/>
      <c r="C62" s="748"/>
      <c r="D62" s="883" t="str">
        <f>IF(OR(ISBLANK(I59), ISBLANK(I60), ISBLANK(I61)), "-", I59 &amp; "-" &amp; TEXT(I60, "00") &amp; "-" &amp; TEXT(I61, "00"))</f>
        <v>-</v>
      </c>
      <c r="E62" s="883"/>
      <c r="F62" s="883"/>
      <c r="G62" s="883"/>
      <c r="H62" s="883"/>
      <c r="I62" s="883"/>
      <c r="J62" s="883"/>
      <c r="K62" s="884"/>
      <c r="L62" s="313"/>
    </row>
    <row r="63" spans="1:12" ht="15" thickBot="1" x14ac:dyDescent="0.35"/>
    <row r="64" spans="1:12" ht="14.85" customHeight="1" thickBot="1" x14ac:dyDescent="0.35">
      <c r="C64" s="634" t="str">
        <f>template_label_b3_greenhouse_gas_emission_intensity_per_turnover&amp;" "&amp;template_label_from&amp;" "&amp;template_starting_date_display&amp;" "&amp;template_label_to&amp;" "&amp;template_ending_date_display&amp;" "&amp;template_label_always_to_be_reported</f>
        <v xml:space="preserve">B3 - Intensité des émissions de gaz à effet de serre sur la base du chiffre d'affaires (en  tCO₂e) du - au - [Toujours à reporter] 
</v>
      </c>
      <c r="D64" s="781"/>
      <c r="E64" s="781"/>
      <c r="F64" s="781"/>
      <c r="G64" s="781"/>
      <c r="H64" s="781"/>
      <c r="I64" s="781"/>
      <c r="J64" s="781"/>
      <c r="K64" s="782"/>
    </row>
    <row r="65" spans="3:12" ht="14.85" customHeight="1" x14ac:dyDescent="0.3">
      <c r="C65" s="636">
        <v>31</v>
      </c>
      <c r="D65" s="783"/>
      <c r="E65" s="783"/>
      <c r="F65" s="783"/>
      <c r="G65" s="783"/>
      <c r="H65" s="783"/>
      <c r="I65" s="783"/>
      <c r="J65" s="783"/>
      <c r="K65" s="784"/>
    </row>
    <row r="66" spans="3:12" x14ac:dyDescent="0.3">
      <c r="C66" s="703" t="str">
        <f>template_label_scope_1_and_scope_2_ghg_emissions_intensity_location_based</f>
        <v>Intensité des émissions de GES des scopes 1 et 2 (approche basée sur la localisation)</v>
      </c>
      <c r="D66" s="841"/>
      <c r="E66" s="841"/>
      <c r="F66" s="841"/>
      <c r="G66" s="785" t="str">
        <f>IF(G29=TRUE,
   "-",
   IFERROR(
      IF(OR(D25="", Turnover=""), "-", D25/Turnover),
      "-"
   )
)</f>
        <v>-</v>
      </c>
      <c r="H66" s="785"/>
      <c r="I66" s="785"/>
      <c r="J66" s="785"/>
      <c r="K66" s="786"/>
    </row>
    <row r="67" spans="3:12" x14ac:dyDescent="0.3">
      <c r="C67" s="703" t="str">
        <f>template_label_scope_1_and_scope_2_ghg_emissions_intensity_market_based &amp; " - " &amp; template_label_may_not_headline</f>
        <v>Intensité des émissions de GES des scopes 1 et 2 (approche basée sur le marché) - peut (facultatif)</v>
      </c>
      <c r="D67" s="841"/>
      <c r="E67" s="841"/>
      <c r="F67" s="841"/>
      <c r="G67" s="881" t="str">
        <f>IF(G29=TRUE,
   "-",
   IFERROR(
      IF(OR(D26="", Turnover=""), "-", D26/Turnover),
      "-"
   )
)</f>
        <v>-</v>
      </c>
      <c r="H67" s="881"/>
      <c r="I67" s="881"/>
      <c r="J67" s="881"/>
      <c r="K67" s="882"/>
    </row>
    <row r="68" spans="3:12" x14ac:dyDescent="0.3">
      <c r="C68" s="703" t="str">
        <f>template_label_total_scope_1_scope_2_and_scope_3_ghg_emissions_intensity_location_based</f>
        <v>Intensité des émissions totales de GES des scopes 1, 2 et 3 (approche basée sur la localisation)</v>
      </c>
      <c r="D68" s="841"/>
      <c r="E68" s="841"/>
      <c r="F68" s="841"/>
      <c r="G68" s="881" t="str">
        <f>IF(G29=FALSE,
   "-",
   IFERROR(
      IF(OR(D46="", Turnover=""), "-", D46/Turnover),
      "-"
   )
)</f>
        <v>-</v>
      </c>
      <c r="H68" s="881"/>
      <c r="I68" s="881"/>
      <c r="J68" s="881"/>
      <c r="K68" s="882"/>
    </row>
    <row r="69" spans="3:12" ht="15" thickBot="1" x14ac:dyDescent="0.35">
      <c r="C69" s="665" t="str">
        <f>template_label_total_scope_1_scope_2_and_scope_3_ghg_emissions_intensity_market_based &amp; " - " &amp; template_label_may_not_headline</f>
        <v>Intensité des émissions totales de GES des scopes 1, 2 et 3 (approche basée sur le marché) - peut (facultatif)</v>
      </c>
      <c r="D69" s="669"/>
      <c r="E69" s="669"/>
      <c r="F69" s="669"/>
      <c r="G69" s="890" t="str">
        <f>IF(G29=FALSE,
   "-",
   IFERROR(
      IF(OR(D47="", Turnover=""), "-", D47/Turnover),
      "-"
   )
)</f>
        <v>-</v>
      </c>
      <c r="H69" s="890"/>
      <c r="I69" s="890"/>
      <c r="J69" s="890"/>
      <c r="K69" s="891"/>
    </row>
    <row r="70" spans="3:12" ht="15" thickBot="1" x14ac:dyDescent="0.35"/>
    <row r="71" spans="3:12" ht="15" thickBot="1" x14ac:dyDescent="0.35">
      <c r="C71" s="661" t="str">
        <f>template_label_b4_pollution_of_air_water_and_soil&amp;" "&amp;template_label_from&amp;" "&amp;template_starting_date_display&amp;" "&amp;template_label_to&amp;" "&amp;template_ending_date_display&amp;" "&amp;template_label_if_applicable</f>
        <v>Pollution de l'air, de l'eau et des sols du - au - [Le cas échéant]</v>
      </c>
      <c r="D71" s="789"/>
      <c r="E71" s="789"/>
      <c r="F71" s="789"/>
      <c r="G71" s="789"/>
      <c r="H71" s="789"/>
      <c r="I71" s="789"/>
      <c r="J71" s="789"/>
      <c r="K71" s="790"/>
    </row>
    <row r="72" spans="3:12" x14ac:dyDescent="0.3">
      <c r="C72" s="636">
        <v>32</v>
      </c>
      <c r="D72" s="783"/>
      <c r="E72" s="783"/>
      <c r="F72" s="783"/>
      <c r="G72" s="783"/>
      <c r="H72" s="783"/>
      <c r="I72" s="783"/>
      <c r="J72" s="783"/>
      <c r="K72" s="784"/>
    </row>
    <row r="73" spans="3:12" x14ac:dyDescent="0.3">
      <c r="C73" s="645" t="s">
        <v>40</v>
      </c>
      <c r="D73" s="622"/>
      <c r="E73" s="622"/>
      <c r="F73" s="622"/>
      <c r="G73" s="622"/>
      <c r="H73" s="622"/>
      <c r="I73" s="622"/>
      <c r="J73" s="622"/>
      <c r="K73" s="741"/>
    </row>
    <row r="74" spans="3:12" ht="30" customHeight="1" x14ac:dyDescent="0.3">
      <c r="C74" s="717" t="str">
        <f>template_label_required_by_law_or_other_national_regulations_to_report_to_competent_authorities_its_emissions_of_pollutants</f>
        <v>L’entreprise est-elle déjà tenue, en vertu de la législation ou d’autres réglementations nationales, de déclarer aux autorités compétentes ses émissions de polluants, ou les déclare-t-elle déjà volontairement conformément à un système de management environnemental ?</v>
      </c>
      <c r="D74" s="893"/>
      <c r="E74" s="893"/>
      <c r="F74" s="893"/>
      <c r="G74" s="888" t="b">
        <v>0</v>
      </c>
      <c r="H74" s="888"/>
      <c r="I74" s="888"/>
      <c r="J74" s="888"/>
      <c r="K74" s="889"/>
      <c r="L74" s="16"/>
    </row>
    <row r="75" spans="3:12" x14ac:dyDescent="0.3">
      <c r="C75" s="703" t="str">
        <f>template_label_is_this_disclosure_already_publicly_available</f>
        <v>Cette information est-elle déjà accessible au public ?</v>
      </c>
      <c r="D75" s="841"/>
      <c r="E75" s="841"/>
      <c r="F75" s="841"/>
      <c r="G75" s="871"/>
      <c r="H75" s="871"/>
      <c r="I75" s="871"/>
      <c r="J75" s="871"/>
      <c r="K75" s="872"/>
      <c r="L75" s="16" t="str" cm="1">
        <f t="array" ref="L75">IF(AND(G75=TRUE,D80:K179=""),
template_label_ok,IF(AND(G74=TRUE,G75=""),template_label_missing_value,IF(AND(G74=TRUE,PubliclyAvailableDisclosure=FALSE),template_label_ok,
IF(AND(OR(D80:K179&lt;&gt;""),G75=TRUE),
template_label_value_inconsistency,
""
)
)))</f>
        <v/>
      </c>
    </row>
    <row r="76" spans="3:12" x14ac:dyDescent="0.3">
      <c r="C76" s="703" t="str">
        <f>template_label_please_provide_the_relevant_url_link_or_hyperlink_of_where_this_information_is_reported</f>
        <v>Veuillez fournir le lien URL pertinent ou l’hyperlien indiquant où ces informations sont publiées.</v>
      </c>
      <c r="D76" s="841"/>
      <c r="E76" s="841"/>
      <c r="F76" s="841"/>
      <c r="G76" s="892"/>
      <c r="H76" s="742"/>
      <c r="I76" s="742"/>
      <c r="J76" s="742"/>
      <c r="K76" s="870"/>
      <c r="L76" s="16" t="str">
        <f>IF(G75=TRUE,
   IF(G76="",
      template_label_missing_value,
      IF(OR(LEFT(G76,7)="http://", LEFT(G76,8)="https://", LEFT(G76,4)="www."),
         template_label_ok,
         template_label_invalid_url
      )
   ),
"")</f>
        <v/>
      </c>
    </row>
    <row r="77" spans="3:12" x14ac:dyDescent="0.3">
      <c r="C77" s="866" t="str">
        <f>template_label_please_select_the_unit_used_for_reporting_the_amount</f>
        <v>Veuillez sélectionner l'unité utilisée pour reporter la quantité (c.-à-d. soit en kg ou en tonne)</v>
      </c>
      <c r="D77" s="867"/>
      <c r="E77" s="867"/>
      <c r="F77" s="867"/>
      <c r="G77" s="867"/>
      <c r="H77" s="867"/>
      <c r="I77" s="867"/>
      <c r="J77" s="867"/>
      <c r="K77" s="868"/>
    </row>
    <row r="78" spans="3:12" x14ac:dyDescent="0.3">
      <c r="C78" s="869" t="s">
        <v>346</v>
      </c>
      <c r="D78" s="742"/>
      <c r="E78" s="742"/>
      <c r="F78" s="742"/>
      <c r="G78" s="742"/>
      <c r="H78" s="742"/>
      <c r="I78" s="742"/>
      <c r="J78" s="742"/>
      <c r="K78" s="870"/>
      <c r="L78" s="17" t="str" cm="1">
        <f t="array" ref="L78">IF(PubliclyAvailableDisclosure="","",IF(AND(OR(D80:F179&lt;&gt;"",G80:I179&lt;&gt;"",J80:J179&lt;&gt;"",G296&lt;&gt;"",K80:K179&lt;&gt;""),C78&lt;&gt;"",G74=TRUE,G75=FALSE),
template_label_ok,
IF(AND(OR(D80:F179&lt;&gt;"",G80:I179&lt;&gt;"",J80:J179&lt;&gt;"",G296&lt;&gt;"",K80:K179&lt;&gt;""),C78&lt;&gt;"",G74=TRUE,G75=TRUE),
template_label_value_inconsistency,
IF(AND(OR(D80:D179="",G80:G179="",J80:J179="",K80:K179=""),C78&lt;&gt;"",G74=TRUE,G75=FALSE),
template_label_ok,
IF(AND(OR(D80:D179="",G80:G179="",J80:J179="",K80:K179=""),C78&lt;&gt;"",G74=TRUE,G75=TRUE),
template_label_value_inconsistency,
IF(AND(C78="",G74=TRUE,G75=FALSE),
template_label_missing_value,
""
)
)
)
)
))</f>
        <v/>
      </c>
    </row>
    <row r="79" spans="3:12" x14ac:dyDescent="0.3">
      <c r="C79" s="104" t="str">
        <f>template_label_row_id</f>
        <v>ID de ligne</v>
      </c>
      <c r="D79" s="815" t="str">
        <f>template_label_pollutant</f>
        <v>Polluant</v>
      </c>
      <c r="E79" s="815"/>
      <c r="F79" s="815"/>
      <c r="G79" s="815" t="str">
        <f>template_label_emission_to_air</f>
        <v>Rejets dans l'air</v>
      </c>
      <c r="H79" s="815"/>
      <c r="I79" s="815"/>
      <c r="J79" s="6" t="str">
        <f>template_label_emission_to_water</f>
        <v>Rejets dans l'eau</v>
      </c>
      <c r="K79" s="95" t="str">
        <f>template_label_emission_to_soil</f>
        <v>Rejets dans les sols</v>
      </c>
    </row>
    <row r="80" spans="3:12" x14ac:dyDescent="0.3">
      <c r="C80" s="199">
        <v>1</v>
      </c>
      <c r="D80" s="742"/>
      <c r="E80" s="742"/>
      <c r="F80" s="742"/>
      <c r="G80" s="730"/>
      <c r="H80" s="730"/>
      <c r="I80" s="730"/>
      <c r="J80" s="225"/>
      <c r="K80" s="227"/>
      <c r="L80" s="16" t="str">
        <f>IF(PubliclyAvailableDisclosure="","",IF(AND($G$74=TRUE,$G$75=TRUE,OR(D80&lt;&gt;"",G80&lt;&gt;"",J80&lt;&gt;"",K80&lt;&gt;"")),
template_label_value_inconsistency,
IF($G$74&lt;&gt;TRUE,"",
IF(AND(D80="",G80="",J80="",K80="",G74=TRUE,G75=FALSE),template_label_missing_value,
IF(AND(D80="",G80="",J80="",K80="",G74=TRUE,G75=TRUE),"",
IF(AND(D80="",G80="",J80="",K80="",G74=FALSE),"",
IF(AND(D80&lt;&gt;"",G80="",J80="",K80=""),template_label_missing_value,
IF(AND(D80&lt;&gt;"",OR(G80&lt;&gt;"",J80&lt;&gt;"",K80&lt;&gt;"")),
IF(COUNTIF($D$80:$D$179,D80)&gt;1,template_label_value_inconsistency,template_label_ok),
template_label_missing_value))))))))</f>
        <v/>
      </c>
    </row>
    <row r="81" spans="3:13" x14ac:dyDescent="0.3">
      <c r="C81" s="199">
        <v>2</v>
      </c>
      <c r="D81" s="742"/>
      <c r="E81" s="742"/>
      <c r="F81" s="742"/>
      <c r="G81" s="730"/>
      <c r="H81" s="730"/>
      <c r="I81" s="730"/>
      <c r="J81" s="225"/>
      <c r="K81" s="227"/>
      <c r="L81" s="16" t="str">
        <f t="shared" ref="L81:L179" si="3">IF(AND($G$74=TRUE,$G$75=TRUE,OR(D81&lt;&gt;"",G81&lt;&gt;"",J81&lt;&gt;"",K81&lt;&gt;"")),
    template_label_value_inconsistency,
IF($G$74&lt;&gt;TRUE, "",
IF(AND(D81="", G81="", J81="", K81=""), "",
IF(AND(D81&lt;&gt;"", G81="", J81="", K81=""), template_label_missing_value,
IF(AND(D81&lt;&gt;"", OR(G81&lt;&gt;"", J81&lt;&gt;"", K81&lt;&gt;"")),
    IF(COUNTIF($D$80:$D$179, D81)&gt;1, template_label_value_inconsistency, template_label_ok),
template_label_missing_value)))))</f>
        <v/>
      </c>
    </row>
    <row r="82" spans="3:13" ht="15" thickBot="1" x14ac:dyDescent="0.35">
      <c r="C82" s="201">
        <v>3</v>
      </c>
      <c r="D82" s="780"/>
      <c r="E82" s="780"/>
      <c r="F82" s="780"/>
      <c r="G82" s="778"/>
      <c r="H82" s="778"/>
      <c r="I82" s="778"/>
      <c r="J82" s="228"/>
      <c r="K82" s="229"/>
      <c r="L82" s="16" t="str">
        <f t="shared" si="3"/>
        <v/>
      </c>
      <c r="M82" t="str">
        <f>template_label_additional_rows_warning</f>
        <v>ℹ️Les listes peuvent être déroulées à l’aide du bouton plus [+] situé à gauche. Si le nombre de lignes n’est pas suffisant, des lignes supplémentaires peuvent être ajoutées en cliquant avec le bouton droit sur la deuxième ligne et en sélectionnant « Insérer une ligne ».</v>
      </c>
    </row>
    <row r="83" spans="3:13" ht="15" hidden="1" outlineLevel="1" thickBot="1" x14ac:dyDescent="0.35">
      <c r="C83" s="200">
        <v>4</v>
      </c>
      <c r="D83" s="873"/>
      <c r="E83" s="873"/>
      <c r="F83" s="873"/>
      <c r="G83" s="779"/>
      <c r="H83" s="779"/>
      <c r="I83" s="779"/>
      <c r="J83" s="230"/>
      <c r="K83" s="231"/>
      <c r="L83" s="16" t="str">
        <f t="shared" si="3"/>
        <v/>
      </c>
    </row>
    <row r="84" spans="3:13" hidden="1" outlineLevel="1" x14ac:dyDescent="0.3">
      <c r="C84" s="199">
        <v>5</v>
      </c>
      <c r="D84" s="742"/>
      <c r="E84" s="742"/>
      <c r="F84" s="742"/>
      <c r="G84" s="730"/>
      <c r="H84" s="730"/>
      <c r="I84" s="730"/>
      <c r="J84" s="225"/>
      <c r="K84" s="227"/>
      <c r="L84" s="16" t="str">
        <f t="shared" si="3"/>
        <v/>
      </c>
    </row>
    <row r="85" spans="3:13" hidden="1" outlineLevel="1" x14ac:dyDescent="0.3">
      <c r="C85" s="199">
        <v>6</v>
      </c>
      <c r="D85" s="742"/>
      <c r="E85" s="742"/>
      <c r="F85" s="742"/>
      <c r="G85" s="730"/>
      <c r="H85" s="730"/>
      <c r="I85" s="730"/>
      <c r="J85" s="225"/>
      <c r="K85" s="227"/>
      <c r="L85" s="16" t="str">
        <f t="shared" si="3"/>
        <v/>
      </c>
    </row>
    <row r="86" spans="3:13" hidden="1" outlineLevel="1" x14ac:dyDescent="0.3">
      <c r="C86" s="199">
        <v>7</v>
      </c>
      <c r="D86" s="742"/>
      <c r="E86" s="742"/>
      <c r="F86" s="742"/>
      <c r="G86" s="730"/>
      <c r="H86" s="730"/>
      <c r="I86" s="730"/>
      <c r="J86" s="225"/>
      <c r="K86" s="227"/>
      <c r="L86" s="16" t="str">
        <f t="shared" si="3"/>
        <v/>
      </c>
    </row>
    <row r="87" spans="3:13" hidden="1" outlineLevel="1" x14ac:dyDescent="0.3">
      <c r="C87" s="199">
        <v>8</v>
      </c>
      <c r="D87" s="742"/>
      <c r="E87" s="742"/>
      <c r="F87" s="742"/>
      <c r="G87" s="730"/>
      <c r="H87" s="730"/>
      <c r="I87" s="730"/>
      <c r="J87" s="225"/>
      <c r="K87" s="227"/>
      <c r="L87" s="16" t="str">
        <f t="shared" si="3"/>
        <v/>
      </c>
    </row>
    <row r="88" spans="3:13" hidden="1" outlineLevel="1" x14ac:dyDescent="0.3">
      <c r="C88" s="199">
        <v>9</v>
      </c>
      <c r="D88" s="742"/>
      <c r="E88" s="742"/>
      <c r="F88" s="742"/>
      <c r="G88" s="730"/>
      <c r="H88" s="730"/>
      <c r="I88" s="730"/>
      <c r="J88" s="225"/>
      <c r="K88" s="227"/>
      <c r="L88" s="16" t="str">
        <f t="shared" si="3"/>
        <v/>
      </c>
    </row>
    <row r="89" spans="3:13" hidden="1" outlineLevel="1" x14ac:dyDescent="0.3">
      <c r="C89" s="199">
        <v>10</v>
      </c>
      <c r="D89" s="742"/>
      <c r="E89" s="742"/>
      <c r="F89" s="742"/>
      <c r="G89" s="730"/>
      <c r="H89" s="730"/>
      <c r="I89" s="730"/>
      <c r="J89" s="225"/>
      <c r="K89" s="227"/>
      <c r="L89" s="16" t="str">
        <f t="shared" si="3"/>
        <v/>
      </c>
    </row>
    <row r="90" spans="3:13" hidden="1" outlineLevel="1" x14ac:dyDescent="0.3">
      <c r="C90" s="199">
        <v>11</v>
      </c>
      <c r="D90" s="742"/>
      <c r="E90" s="742"/>
      <c r="F90" s="742"/>
      <c r="G90" s="730"/>
      <c r="H90" s="730"/>
      <c r="I90" s="730"/>
      <c r="J90" s="225"/>
      <c r="K90" s="227"/>
      <c r="L90" s="16" t="str">
        <f t="shared" si="3"/>
        <v/>
      </c>
    </row>
    <row r="91" spans="3:13" hidden="1" outlineLevel="1" x14ac:dyDescent="0.3">
      <c r="C91" s="199">
        <v>12</v>
      </c>
      <c r="D91" s="742"/>
      <c r="E91" s="742"/>
      <c r="F91" s="742"/>
      <c r="G91" s="730"/>
      <c r="H91" s="730"/>
      <c r="I91" s="730"/>
      <c r="J91" s="225"/>
      <c r="K91" s="227"/>
      <c r="L91" s="16" t="str">
        <f t="shared" si="3"/>
        <v/>
      </c>
    </row>
    <row r="92" spans="3:13" hidden="1" outlineLevel="1" x14ac:dyDescent="0.3">
      <c r="C92" s="199">
        <v>13</v>
      </c>
      <c r="D92" s="742"/>
      <c r="E92" s="742"/>
      <c r="F92" s="742"/>
      <c r="G92" s="730"/>
      <c r="H92" s="730"/>
      <c r="I92" s="730"/>
      <c r="J92" s="225"/>
      <c r="K92" s="227"/>
      <c r="L92" s="16" t="str">
        <f t="shared" si="3"/>
        <v/>
      </c>
    </row>
    <row r="93" spans="3:13" hidden="1" outlineLevel="1" x14ac:dyDescent="0.3">
      <c r="C93" s="199">
        <v>14</v>
      </c>
      <c r="D93" s="742"/>
      <c r="E93" s="742"/>
      <c r="F93" s="742"/>
      <c r="G93" s="730"/>
      <c r="H93" s="730"/>
      <c r="I93" s="730"/>
      <c r="J93" s="225"/>
      <c r="K93" s="227"/>
      <c r="L93" s="16" t="str">
        <f t="shared" si="3"/>
        <v/>
      </c>
    </row>
    <row r="94" spans="3:13" hidden="1" outlineLevel="1" x14ac:dyDescent="0.3">
      <c r="C94" s="199">
        <v>15</v>
      </c>
      <c r="D94" s="742"/>
      <c r="E94" s="742"/>
      <c r="F94" s="742"/>
      <c r="G94" s="730"/>
      <c r="H94" s="730"/>
      <c r="I94" s="730"/>
      <c r="J94" s="225"/>
      <c r="K94" s="227"/>
      <c r="L94" s="16" t="str">
        <f t="shared" si="3"/>
        <v/>
      </c>
    </row>
    <row r="95" spans="3:13" hidden="1" outlineLevel="1" x14ac:dyDescent="0.3">
      <c r="C95" s="199">
        <v>16</v>
      </c>
      <c r="D95" s="742"/>
      <c r="E95" s="742"/>
      <c r="F95" s="742"/>
      <c r="G95" s="730"/>
      <c r="H95" s="730"/>
      <c r="I95" s="730"/>
      <c r="J95" s="225"/>
      <c r="K95" s="227"/>
      <c r="L95" s="16" t="str">
        <f t="shared" si="3"/>
        <v/>
      </c>
    </row>
    <row r="96" spans="3:13" hidden="1" outlineLevel="1" x14ac:dyDescent="0.3">
      <c r="C96" s="199">
        <v>17</v>
      </c>
      <c r="D96" s="742"/>
      <c r="E96" s="742"/>
      <c r="F96" s="742"/>
      <c r="G96" s="730"/>
      <c r="H96" s="730"/>
      <c r="I96" s="730"/>
      <c r="J96" s="225"/>
      <c r="K96" s="227"/>
      <c r="L96" s="16" t="str">
        <f t="shared" si="3"/>
        <v/>
      </c>
    </row>
    <row r="97" spans="3:13" hidden="1" outlineLevel="1" x14ac:dyDescent="0.3">
      <c r="C97" s="199">
        <v>18</v>
      </c>
      <c r="D97" s="742"/>
      <c r="E97" s="742"/>
      <c r="F97" s="742"/>
      <c r="G97" s="730"/>
      <c r="H97" s="730"/>
      <c r="I97" s="730"/>
      <c r="J97" s="225"/>
      <c r="K97" s="227"/>
      <c r="L97" s="16" t="str">
        <f t="shared" si="3"/>
        <v/>
      </c>
    </row>
    <row r="98" spans="3:13" hidden="1" outlineLevel="1" x14ac:dyDescent="0.3">
      <c r="C98" s="199">
        <v>19</v>
      </c>
      <c r="D98" s="742"/>
      <c r="E98" s="742"/>
      <c r="F98" s="742"/>
      <c r="G98" s="730"/>
      <c r="H98" s="730"/>
      <c r="I98" s="730"/>
      <c r="J98" s="225"/>
      <c r="K98" s="227"/>
      <c r="L98" s="16" t="str">
        <f t="shared" si="3"/>
        <v/>
      </c>
    </row>
    <row r="99" spans="3:13" hidden="1" outlineLevel="1" x14ac:dyDescent="0.3">
      <c r="C99" s="199">
        <v>20</v>
      </c>
      <c r="D99" s="742"/>
      <c r="E99" s="742"/>
      <c r="F99" s="742"/>
      <c r="G99" s="730"/>
      <c r="H99" s="730"/>
      <c r="I99" s="730"/>
      <c r="J99" s="225"/>
      <c r="K99" s="227"/>
      <c r="L99" s="16" t="str">
        <f t="shared" si="3"/>
        <v/>
      </c>
    </row>
    <row r="100" spans="3:13" hidden="1" outlineLevel="1" x14ac:dyDescent="0.3">
      <c r="C100" s="199">
        <v>21</v>
      </c>
      <c r="D100" s="742"/>
      <c r="E100" s="742"/>
      <c r="F100" s="742"/>
      <c r="G100" s="730"/>
      <c r="H100" s="730"/>
      <c r="I100" s="730"/>
      <c r="J100" s="225"/>
      <c r="K100" s="227"/>
      <c r="L100" s="16" t="str">
        <f t="shared" si="3"/>
        <v/>
      </c>
    </row>
    <row r="101" spans="3:13" hidden="1" outlineLevel="1" x14ac:dyDescent="0.3">
      <c r="C101" s="199">
        <v>22</v>
      </c>
      <c r="D101" s="742"/>
      <c r="E101" s="742"/>
      <c r="F101" s="742"/>
      <c r="G101" s="730"/>
      <c r="H101" s="730"/>
      <c r="I101" s="730"/>
      <c r="J101" s="225"/>
      <c r="K101" s="227"/>
      <c r="L101" s="16" t="str">
        <f t="shared" si="3"/>
        <v/>
      </c>
    </row>
    <row r="102" spans="3:13" hidden="1" outlineLevel="1" x14ac:dyDescent="0.3">
      <c r="C102" s="199">
        <v>23</v>
      </c>
      <c r="D102" s="742"/>
      <c r="E102" s="742"/>
      <c r="F102" s="742"/>
      <c r="G102" s="730"/>
      <c r="H102" s="730"/>
      <c r="I102" s="730"/>
      <c r="J102" s="225"/>
      <c r="K102" s="227"/>
      <c r="L102" s="16" t="str">
        <f t="shared" si="3"/>
        <v/>
      </c>
    </row>
    <row r="103" spans="3:13" hidden="1" outlineLevel="1" x14ac:dyDescent="0.3">
      <c r="C103" s="199">
        <v>24</v>
      </c>
      <c r="D103" s="742"/>
      <c r="E103" s="742"/>
      <c r="F103" s="742"/>
      <c r="G103" s="730"/>
      <c r="H103" s="730"/>
      <c r="I103" s="730"/>
      <c r="J103" s="225"/>
      <c r="K103" s="227"/>
      <c r="L103" s="16" t="str">
        <f t="shared" si="3"/>
        <v/>
      </c>
    </row>
    <row r="104" spans="3:13" hidden="1" outlineLevel="1" x14ac:dyDescent="0.3">
      <c r="C104" s="199">
        <v>25</v>
      </c>
      <c r="D104" s="742"/>
      <c r="E104" s="742"/>
      <c r="F104" s="742"/>
      <c r="G104" s="730"/>
      <c r="H104" s="730"/>
      <c r="I104" s="730"/>
      <c r="J104" s="225"/>
      <c r="K104" s="227"/>
      <c r="L104" s="16" t="str">
        <f t="shared" si="3"/>
        <v/>
      </c>
    </row>
    <row r="105" spans="3:13" hidden="1" outlineLevel="1" x14ac:dyDescent="0.3">
      <c r="C105" s="199">
        <v>26</v>
      </c>
      <c r="D105" s="742"/>
      <c r="E105" s="742"/>
      <c r="F105" s="742"/>
      <c r="G105" s="730"/>
      <c r="H105" s="730"/>
      <c r="I105" s="730"/>
      <c r="J105" s="225"/>
      <c r="K105" s="227"/>
      <c r="L105" s="16" t="str">
        <f t="shared" si="3"/>
        <v/>
      </c>
    </row>
    <row r="106" spans="3:13" hidden="1" outlineLevel="1" x14ac:dyDescent="0.3">
      <c r="C106" s="199">
        <v>27</v>
      </c>
      <c r="D106" s="742"/>
      <c r="E106" s="742"/>
      <c r="F106" s="742"/>
      <c r="G106" s="730"/>
      <c r="H106" s="730"/>
      <c r="I106" s="730"/>
      <c r="J106" s="225"/>
      <c r="K106" s="227"/>
      <c r="L106" s="16" t="str">
        <f t="shared" si="3"/>
        <v/>
      </c>
    </row>
    <row r="107" spans="3:13" hidden="1" outlineLevel="1" x14ac:dyDescent="0.3">
      <c r="C107" s="199">
        <v>28</v>
      </c>
      <c r="D107" s="742"/>
      <c r="E107" s="742"/>
      <c r="F107" s="742"/>
      <c r="G107" s="730"/>
      <c r="H107" s="730"/>
      <c r="I107" s="730"/>
      <c r="J107" s="225"/>
      <c r="K107" s="227"/>
      <c r="L107" s="16" t="str">
        <f t="shared" si="3"/>
        <v/>
      </c>
    </row>
    <row r="108" spans="3:13" hidden="1" outlineLevel="1" x14ac:dyDescent="0.3">
      <c r="C108" s="199">
        <v>29</v>
      </c>
      <c r="D108" s="742"/>
      <c r="E108" s="742"/>
      <c r="F108" s="742"/>
      <c r="G108" s="730"/>
      <c r="H108" s="730"/>
      <c r="I108" s="730"/>
      <c r="J108" s="225"/>
      <c r="K108" s="227"/>
      <c r="L108" s="16" t="str">
        <f t="shared" si="3"/>
        <v/>
      </c>
      <c r="M108" s="105"/>
    </row>
    <row r="109" spans="3:13" hidden="1" outlineLevel="1" x14ac:dyDescent="0.3">
      <c r="C109" s="199">
        <v>30</v>
      </c>
      <c r="D109" s="742"/>
      <c r="E109" s="742"/>
      <c r="F109" s="742"/>
      <c r="G109" s="730"/>
      <c r="H109" s="730"/>
      <c r="I109" s="730"/>
      <c r="J109" s="225"/>
      <c r="K109" s="227"/>
      <c r="L109" s="16" t="str">
        <f t="shared" si="3"/>
        <v/>
      </c>
    </row>
    <row r="110" spans="3:13" hidden="1" outlineLevel="1" x14ac:dyDescent="0.3">
      <c r="C110" s="199">
        <v>31</v>
      </c>
      <c r="D110" s="742"/>
      <c r="E110" s="742"/>
      <c r="F110" s="742"/>
      <c r="G110" s="730"/>
      <c r="H110" s="730"/>
      <c r="I110" s="730"/>
      <c r="J110" s="225"/>
      <c r="K110" s="227"/>
      <c r="L110" s="16" t="str">
        <f t="shared" si="3"/>
        <v/>
      </c>
    </row>
    <row r="111" spans="3:13" hidden="1" outlineLevel="1" x14ac:dyDescent="0.3">
      <c r="C111" s="199">
        <v>32</v>
      </c>
      <c r="D111" s="742"/>
      <c r="E111" s="742"/>
      <c r="F111" s="742"/>
      <c r="G111" s="730"/>
      <c r="H111" s="730"/>
      <c r="I111" s="730"/>
      <c r="J111" s="225"/>
      <c r="K111" s="227"/>
      <c r="L111" s="16" t="str">
        <f t="shared" si="3"/>
        <v/>
      </c>
    </row>
    <row r="112" spans="3:13" hidden="1" outlineLevel="1" x14ac:dyDescent="0.3">
      <c r="C112" s="199">
        <v>33</v>
      </c>
      <c r="D112" s="742"/>
      <c r="E112" s="742"/>
      <c r="F112" s="742"/>
      <c r="G112" s="730"/>
      <c r="H112" s="730"/>
      <c r="I112" s="730"/>
      <c r="J112" s="225"/>
      <c r="K112" s="227"/>
      <c r="L112" s="16" t="str">
        <f t="shared" si="3"/>
        <v/>
      </c>
    </row>
    <row r="113" spans="3:12" hidden="1" outlineLevel="1" x14ac:dyDescent="0.3">
      <c r="C113" s="199">
        <v>34</v>
      </c>
      <c r="D113" s="742"/>
      <c r="E113" s="742"/>
      <c r="F113" s="742"/>
      <c r="G113" s="730"/>
      <c r="H113" s="730"/>
      <c r="I113" s="730"/>
      <c r="J113" s="225"/>
      <c r="K113" s="227"/>
      <c r="L113" s="16" t="str">
        <f t="shared" si="3"/>
        <v/>
      </c>
    </row>
    <row r="114" spans="3:12" hidden="1" outlineLevel="1" x14ac:dyDescent="0.3">
      <c r="C114" s="199">
        <v>35</v>
      </c>
      <c r="D114" s="742"/>
      <c r="E114" s="742"/>
      <c r="F114" s="742"/>
      <c r="G114" s="730"/>
      <c r="H114" s="730"/>
      <c r="I114" s="730"/>
      <c r="J114" s="225"/>
      <c r="K114" s="227"/>
      <c r="L114" s="16" t="str">
        <f t="shared" si="3"/>
        <v/>
      </c>
    </row>
    <row r="115" spans="3:12" hidden="1" outlineLevel="1" x14ac:dyDescent="0.3">
      <c r="C115" s="199">
        <v>36</v>
      </c>
      <c r="D115" s="742"/>
      <c r="E115" s="742"/>
      <c r="F115" s="742"/>
      <c r="G115" s="730"/>
      <c r="H115" s="730"/>
      <c r="I115" s="730"/>
      <c r="J115" s="225"/>
      <c r="K115" s="227"/>
      <c r="L115" s="16" t="str">
        <f t="shared" si="3"/>
        <v/>
      </c>
    </row>
    <row r="116" spans="3:12" hidden="1" outlineLevel="1" x14ac:dyDescent="0.3">
      <c r="C116" s="199">
        <v>37</v>
      </c>
      <c r="D116" s="742"/>
      <c r="E116" s="742"/>
      <c r="F116" s="742"/>
      <c r="G116" s="730"/>
      <c r="H116" s="730"/>
      <c r="I116" s="730"/>
      <c r="J116" s="225"/>
      <c r="K116" s="227"/>
      <c r="L116" s="16" t="str">
        <f t="shared" si="3"/>
        <v/>
      </c>
    </row>
    <row r="117" spans="3:12" hidden="1" outlineLevel="1" x14ac:dyDescent="0.3">
      <c r="C117" s="199">
        <v>38</v>
      </c>
      <c r="D117" s="742"/>
      <c r="E117" s="742"/>
      <c r="F117" s="742"/>
      <c r="G117" s="730"/>
      <c r="H117" s="730"/>
      <c r="I117" s="730"/>
      <c r="J117" s="225"/>
      <c r="K117" s="227"/>
      <c r="L117" s="16" t="str">
        <f t="shared" si="3"/>
        <v/>
      </c>
    </row>
    <row r="118" spans="3:12" hidden="1" outlineLevel="1" x14ac:dyDescent="0.3">
      <c r="C118" s="199">
        <v>39</v>
      </c>
      <c r="D118" s="742"/>
      <c r="E118" s="742"/>
      <c r="F118" s="742"/>
      <c r="G118" s="730"/>
      <c r="H118" s="730"/>
      <c r="I118" s="730"/>
      <c r="J118" s="225"/>
      <c r="K118" s="227"/>
      <c r="L118" s="16" t="str">
        <f t="shared" si="3"/>
        <v/>
      </c>
    </row>
    <row r="119" spans="3:12" hidden="1" outlineLevel="1" x14ac:dyDescent="0.3">
      <c r="C119" s="199">
        <v>40</v>
      </c>
      <c r="D119" s="742"/>
      <c r="E119" s="742"/>
      <c r="F119" s="742"/>
      <c r="G119" s="730"/>
      <c r="H119" s="730"/>
      <c r="I119" s="730"/>
      <c r="J119" s="225"/>
      <c r="K119" s="227"/>
      <c r="L119" s="16" t="str">
        <f t="shared" si="3"/>
        <v/>
      </c>
    </row>
    <row r="120" spans="3:12" hidden="1" outlineLevel="1" x14ac:dyDescent="0.3">
      <c r="C120" s="199">
        <v>41</v>
      </c>
      <c r="D120" s="742"/>
      <c r="E120" s="742"/>
      <c r="F120" s="742"/>
      <c r="G120" s="730"/>
      <c r="H120" s="730"/>
      <c r="I120" s="730"/>
      <c r="J120" s="225"/>
      <c r="K120" s="227"/>
      <c r="L120" s="16" t="str">
        <f t="shared" si="3"/>
        <v/>
      </c>
    </row>
    <row r="121" spans="3:12" hidden="1" outlineLevel="1" x14ac:dyDescent="0.3">
      <c r="C121" s="199">
        <v>42</v>
      </c>
      <c r="D121" s="742"/>
      <c r="E121" s="742"/>
      <c r="F121" s="742"/>
      <c r="G121" s="730"/>
      <c r="H121" s="730"/>
      <c r="I121" s="730"/>
      <c r="J121" s="225"/>
      <c r="K121" s="227"/>
      <c r="L121" s="16" t="str">
        <f t="shared" si="3"/>
        <v/>
      </c>
    </row>
    <row r="122" spans="3:12" hidden="1" outlineLevel="1" x14ac:dyDescent="0.3">
      <c r="C122" s="199">
        <v>43</v>
      </c>
      <c r="D122" s="742"/>
      <c r="E122" s="742"/>
      <c r="F122" s="742"/>
      <c r="G122" s="730"/>
      <c r="H122" s="730"/>
      <c r="I122" s="730"/>
      <c r="J122" s="225"/>
      <c r="K122" s="227"/>
      <c r="L122" s="16" t="str">
        <f t="shared" si="3"/>
        <v/>
      </c>
    </row>
    <row r="123" spans="3:12" hidden="1" outlineLevel="1" x14ac:dyDescent="0.3">
      <c r="C123" s="199">
        <v>44</v>
      </c>
      <c r="D123" s="742"/>
      <c r="E123" s="742"/>
      <c r="F123" s="742"/>
      <c r="G123" s="730"/>
      <c r="H123" s="730"/>
      <c r="I123" s="730"/>
      <c r="J123" s="225"/>
      <c r="K123" s="227"/>
      <c r="L123" s="16" t="str">
        <f t="shared" si="3"/>
        <v/>
      </c>
    </row>
    <row r="124" spans="3:12" hidden="1" outlineLevel="1" x14ac:dyDescent="0.3">
      <c r="C124" s="199">
        <v>45</v>
      </c>
      <c r="D124" s="742"/>
      <c r="E124" s="742"/>
      <c r="F124" s="742"/>
      <c r="G124" s="730"/>
      <c r="H124" s="730"/>
      <c r="I124" s="730"/>
      <c r="J124" s="225"/>
      <c r="K124" s="227"/>
      <c r="L124" s="16" t="str">
        <f t="shared" si="3"/>
        <v/>
      </c>
    </row>
    <row r="125" spans="3:12" hidden="1" outlineLevel="1" x14ac:dyDescent="0.3">
      <c r="C125" s="199">
        <v>46</v>
      </c>
      <c r="D125" s="742"/>
      <c r="E125" s="742"/>
      <c r="F125" s="742"/>
      <c r="G125" s="730"/>
      <c r="H125" s="730"/>
      <c r="I125" s="730"/>
      <c r="J125" s="225"/>
      <c r="K125" s="227"/>
      <c r="L125" s="16" t="str">
        <f t="shared" si="3"/>
        <v/>
      </c>
    </row>
    <row r="126" spans="3:12" hidden="1" outlineLevel="1" x14ac:dyDescent="0.3">
      <c r="C126" s="199">
        <v>47</v>
      </c>
      <c r="D126" s="742"/>
      <c r="E126" s="742"/>
      <c r="F126" s="742"/>
      <c r="G126" s="730"/>
      <c r="H126" s="730"/>
      <c r="I126" s="730"/>
      <c r="J126" s="225"/>
      <c r="K126" s="227"/>
      <c r="L126" s="16" t="str">
        <f t="shared" si="3"/>
        <v/>
      </c>
    </row>
    <row r="127" spans="3:12" hidden="1" outlineLevel="1" x14ac:dyDescent="0.3">
      <c r="C127" s="199">
        <v>48</v>
      </c>
      <c r="D127" s="742"/>
      <c r="E127" s="742"/>
      <c r="F127" s="742"/>
      <c r="G127" s="730"/>
      <c r="H127" s="730"/>
      <c r="I127" s="730"/>
      <c r="J127" s="225"/>
      <c r="K127" s="227"/>
      <c r="L127" s="16" t="str">
        <f t="shared" si="3"/>
        <v/>
      </c>
    </row>
    <row r="128" spans="3:12" hidden="1" outlineLevel="1" x14ac:dyDescent="0.3">
      <c r="C128" s="199">
        <v>49</v>
      </c>
      <c r="D128" s="742"/>
      <c r="E128" s="742"/>
      <c r="F128" s="742"/>
      <c r="G128" s="730"/>
      <c r="H128" s="730"/>
      <c r="I128" s="730"/>
      <c r="J128" s="225"/>
      <c r="K128" s="227"/>
      <c r="L128" s="16" t="str">
        <f t="shared" si="3"/>
        <v/>
      </c>
    </row>
    <row r="129" spans="3:12" hidden="1" outlineLevel="1" x14ac:dyDescent="0.3">
      <c r="C129" s="199">
        <v>50</v>
      </c>
      <c r="D129" s="742"/>
      <c r="E129" s="742"/>
      <c r="F129" s="742"/>
      <c r="G129" s="730"/>
      <c r="H129" s="730"/>
      <c r="I129" s="730"/>
      <c r="J129" s="225"/>
      <c r="K129" s="227"/>
      <c r="L129" s="16" t="str">
        <f t="shared" si="3"/>
        <v/>
      </c>
    </row>
    <row r="130" spans="3:12" hidden="1" outlineLevel="1" x14ac:dyDescent="0.3">
      <c r="C130" s="199">
        <v>51</v>
      </c>
      <c r="D130" s="742"/>
      <c r="E130" s="742"/>
      <c r="F130" s="742"/>
      <c r="G130" s="730"/>
      <c r="H130" s="730"/>
      <c r="I130" s="730"/>
      <c r="J130" s="225"/>
      <c r="K130" s="227"/>
      <c r="L130" s="16" t="str">
        <f t="shared" si="3"/>
        <v/>
      </c>
    </row>
    <row r="131" spans="3:12" hidden="1" outlineLevel="1" x14ac:dyDescent="0.3">
      <c r="C131" s="199">
        <v>52</v>
      </c>
      <c r="D131" s="742"/>
      <c r="E131" s="742"/>
      <c r="F131" s="742"/>
      <c r="G131" s="730"/>
      <c r="H131" s="730"/>
      <c r="I131" s="730"/>
      <c r="J131" s="225"/>
      <c r="K131" s="227"/>
      <c r="L131" s="16" t="str">
        <f t="shared" si="3"/>
        <v/>
      </c>
    </row>
    <row r="132" spans="3:12" hidden="1" outlineLevel="1" x14ac:dyDescent="0.3">
      <c r="C132" s="199">
        <v>53</v>
      </c>
      <c r="D132" s="742"/>
      <c r="E132" s="742"/>
      <c r="F132" s="742"/>
      <c r="G132" s="730"/>
      <c r="H132" s="730"/>
      <c r="I132" s="730"/>
      <c r="J132" s="225"/>
      <c r="K132" s="227"/>
      <c r="L132" s="16" t="str">
        <f t="shared" si="3"/>
        <v/>
      </c>
    </row>
    <row r="133" spans="3:12" hidden="1" outlineLevel="1" x14ac:dyDescent="0.3">
      <c r="C133" s="199">
        <v>54</v>
      </c>
      <c r="D133" s="742"/>
      <c r="E133" s="742"/>
      <c r="F133" s="742"/>
      <c r="G133" s="730"/>
      <c r="H133" s="730"/>
      <c r="I133" s="730"/>
      <c r="J133" s="225"/>
      <c r="K133" s="227"/>
      <c r="L133" s="16" t="str">
        <f t="shared" si="3"/>
        <v/>
      </c>
    </row>
    <row r="134" spans="3:12" hidden="1" outlineLevel="1" x14ac:dyDescent="0.3">
      <c r="C134" s="199">
        <v>55</v>
      </c>
      <c r="D134" s="742"/>
      <c r="E134" s="742"/>
      <c r="F134" s="742"/>
      <c r="G134" s="730"/>
      <c r="H134" s="730"/>
      <c r="I134" s="730"/>
      <c r="J134" s="225"/>
      <c r="K134" s="227"/>
      <c r="L134" s="16" t="str">
        <f t="shared" si="3"/>
        <v/>
      </c>
    </row>
    <row r="135" spans="3:12" hidden="1" outlineLevel="1" x14ac:dyDescent="0.3">
      <c r="C135" s="199">
        <v>56</v>
      </c>
      <c r="D135" s="742"/>
      <c r="E135" s="742"/>
      <c r="F135" s="742"/>
      <c r="G135" s="730"/>
      <c r="H135" s="730"/>
      <c r="I135" s="730"/>
      <c r="J135" s="225"/>
      <c r="K135" s="227"/>
      <c r="L135" s="16" t="str">
        <f t="shared" si="3"/>
        <v/>
      </c>
    </row>
    <row r="136" spans="3:12" hidden="1" outlineLevel="1" x14ac:dyDescent="0.3">
      <c r="C136" s="199">
        <v>57</v>
      </c>
      <c r="D136" s="742"/>
      <c r="E136" s="742"/>
      <c r="F136" s="742"/>
      <c r="G136" s="730"/>
      <c r="H136" s="730"/>
      <c r="I136" s="730"/>
      <c r="J136" s="225"/>
      <c r="K136" s="227"/>
      <c r="L136" s="16" t="str">
        <f t="shared" si="3"/>
        <v/>
      </c>
    </row>
    <row r="137" spans="3:12" hidden="1" outlineLevel="1" x14ac:dyDescent="0.3">
      <c r="C137" s="199">
        <v>58</v>
      </c>
      <c r="D137" s="742"/>
      <c r="E137" s="742"/>
      <c r="F137" s="742"/>
      <c r="G137" s="730"/>
      <c r="H137" s="730"/>
      <c r="I137" s="730"/>
      <c r="J137" s="225"/>
      <c r="K137" s="227"/>
      <c r="L137" s="16" t="str">
        <f t="shared" si="3"/>
        <v/>
      </c>
    </row>
    <row r="138" spans="3:12" hidden="1" outlineLevel="1" x14ac:dyDescent="0.3">
      <c r="C138" s="199">
        <v>59</v>
      </c>
      <c r="D138" s="742"/>
      <c r="E138" s="742"/>
      <c r="F138" s="742"/>
      <c r="G138" s="730"/>
      <c r="H138" s="730"/>
      <c r="I138" s="730"/>
      <c r="J138" s="225"/>
      <c r="K138" s="227"/>
      <c r="L138" s="16" t="str">
        <f t="shared" si="3"/>
        <v/>
      </c>
    </row>
    <row r="139" spans="3:12" hidden="1" outlineLevel="1" x14ac:dyDescent="0.3">
      <c r="C139" s="199">
        <v>60</v>
      </c>
      <c r="D139" s="742"/>
      <c r="E139" s="742"/>
      <c r="F139" s="742"/>
      <c r="G139" s="730"/>
      <c r="H139" s="730"/>
      <c r="I139" s="730"/>
      <c r="J139" s="225"/>
      <c r="K139" s="227"/>
      <c r="L139" s="16" t="str">
        <f t="shared" si="3"/>
        <v/>
      </c>
    </row>
    <row r="140" spans="3:12" hidden="1" outlineLevel="1" x14ac:dyDescent="0.3">
      <c r="C140" s="199">
        <v>61</v>
      </c>
      <c r="D140" s="742"/>
      <c r="E140" s="742"/>
      <c r="F140" s="742"/>
      <c r="G140" s="730"/>
      <c r="H140" s="730"/>
      <c r="I140" s="730"/>
      <c r="J140" s="225"/>
      <c r="K140" s="227"/>
      <c r="L140" s="16" t="str">
        <f t="shared" si="3"/>
        <v/>
      </c>
    </row>
    <row r="141" spans="3:12" hidden="1" outlineLevel="1" x14ac:dyDescent="0.3">
      <c r="C141" s="199">
        <v>62</v>
      </c>
      <c r="D141" s="742"/>
      <c r="E141" s="742"/>
      <c r="F141" s="742"/>
      <c r="G141" s="730"/>
      <c r="H141" s="730"/>
      <c r="I141" s="730"/>
      <c r="J141" s="225"/>
      <c r="K141" s="227"/>
      <c r="L141" s="16" t="str">
        <f t="shared" si="3"/>
        <v/>
      </c>
    </row>
    <row r="142" spans="3:12" hidden="1" outlineLevel="1" x14ac:dyDescent="0.3">
      <c r="C142" s="199">
        <v>63</v>
      </c>
      <c r="D142" s="742"/>
      <c r="E142" s="742"/>
      <c r="F142" s="742"/>
      <c r="G142" s="730"/>
      <c r="H142" s="730"/>
      <c r="I142" s="730"/>
      <c r="J142" s="225"/>
      <c r="K142" s="227"/>
      <c r="L142" s="16" t="str">
        <f t="shared" si="3"/>
        <v/>
      </c>
    </row>
    <row r="143" spans="3:12" hidden="1" outlineLevel="1" x14ac:dyDescent="0.3">
      <c r="C143" s="199">
        <v>64</v>
      </c>
      <c r="D143" s="742"/>
      <c r="E143" s="742"/>
      <c r="F143" s="742"/>
      <c r="G143" s="730"/>
      <c r="H143" s="730"/>
      <c r="I143" s="730"/>
      <c r="J143" s="225"/>
      <c r="K143" s="227"/>
      <c r="L143" s="16" t="str">
        <f t="shared" si="3"/>
        <v/>
      </c>
    </row>
    <row r="144" spans="3:12" hidden="1" outlineLevel="1" x14ac:dyDescent="0.3">
      <c r="C144" s="199">
        <v>65</v>
      </c>
      <c r="D144" s="742"/>
      <c r="E144" s="742"/>
      <c r="F144" s="742"/>
      <c r="G144" s="730"/>
      <c r="H144" s="730"/>
      <c r="I144" s="730"/>
      <c r="J144" s="225"/>
      <c r="K144" s="227"/>
      <c r="L144" s="16" t="str">
        <f t="shared" si="3"/>
        <v/>
      </c>
    </row>
    <row r="145" spans="3:12" hidden="1" outlineLevel="1" x14ac:dyDescent="0.3">
      <c r="C145" s="199">
        <v>66</v>
      </c>
      <c r="D145" s="742"/>
      <c r="E145" s="742"/>
      <c r="F145" s="742"/>
      <c r="G145" s="730"/>
      <c r="H145" s="730"/>
      <c r="I145" s="730"/>
      <c r="J145" s="225"/>
      <c r="K145" s="227"/>
      <c r="L145" s="16" t="str">
        <f t="shared" si="3"/>
        <v/>
      </c>
    </row>
    <row r="146" spans="3:12" hidden="1" outlineLevel="1" x14ac:dyDescent="0.3">
      <c r="C146" s="199">
        <v>67</v>
      </c>
      <c r="D146" s="742"/>
      <c r="E146" s="742"/>
      <c r="F146" s="742"/>
      <c r="G146" s="730"/>
      <c r="H146" s="730"/>
      <c r="I146" s="730"/>
      <c r="J146" s="225"/>
      <c r="K146" s="227"/>
      <c r="L146" s="16" t="str">
        <f t="shared" si="3"/>
        <v/>
      </c>
    </row>
    <row r="147" spans="3:12" hidden="1" outlineLevel="1" x14ac:dyDescent="0.3">
      <c r="C147" s="199">
        <v>68</v>
      </c>
      <c r="D147" s="742"/>
      <c r="E147" s="742"/>
      <c r="F147" s="742"/>
      <c r="G147" s="730"/>
      <c r="H147" s="730"/>
      <c r="I147" s="730"/>
      <c r="J147" s="225"/>
      <c r="K147" s="227"/>
      <c r="L147" s="16" t="str">
        <f t="shared" si="3"/>
        <v/>
      </c>
    </row>
    <row r="148" spans="3:12" hidden="1" outlineLevel="1" x14ac:dyDescent="0.3">
      <c r="C148" s="199">
        <v>69</v>
      </c>
      <c r="D148" s="742"/>
      <c r="E148" s="742"/>
      <c r="F148" s="742"/>
      <c r="G148" s="730"/>
      <c r="H148" s="730"/>
      <c r="I148" s="730"/>
      <c r="J148" s="225"/>
      <c r="K148" s="227"/>
      <c r="L148" s="16" t="str">
        <f t="shared" si="3"/>
        <v/>
      </c>
    </row>
    <row r="149" spans="3:12" hidden="1" outlineLevel="1" x14ac:dyDescent="0.3">
      <c r="C149" s="199">
        <v>70</v>
      </c>
      <c r="D149" s="742"/>
      <c r="E149" s="742"/>
      <c r="F149" s="742"/>
      <c r="G149" s="730"/>
      <c r="H149" s="730"/>
      <c r="I149" s="730"/>
      <c r="J149" s="225"/>
      <c r="K149" s="227"/>
      <c r="L149" s="16" t="str">
        <f t="shared" si="3"/>
        <v/>
      </c>
    </row>
    <row r="150" spans="3:12" hidden="1" outlineLevel="1" x14ac:dyDescent="0.3">
      <c r="C150" s="199">
        <v>71</v>
      </c>
      <c r="D150" s="742"/>
      <c r="E150" s="742"/>
      <c r="F150" s="742"/>
      <c r="G150" s="730"/>
      <c r="H150" s="730"/>
      <c r="I150" s="730"/>
      <c r="J150" s="225"/>
      <c r="K150" s="227"/>
      <c r="L150" s="16" t="str">
        <f t="shared" si="3"/>
        <v/>
      </c>
    </row>
    <row r="151" spans="3:12" hidden="1" outlineLevel="1" x14ac:dyDescent="0.3">
      <c r="C151" s="199">
        <v>72</v>
      </c>
      <c r="D151" s="742"/>
      <c r="E151" s="742"/>
      <c r="F151" s="742"/>
      <c r="G151" s="730"/>
      <c r="H151" s="730"/>
      <c r="I151" s="730"/>
      <c r="J151" s="225"/>
      <c r="K151" s="227"/>
      <c r="L151" s="16" t="str">
        <f t="shared" si="3"/>
        <v/>
      </c>
    </row>
    <row r="152" spans="3:12" hidden="1" outlineLevel="1" x14ac:dyDescent="0.3">
      <c r="C152" s="199">
        <v>73</v>
      </c>
      <c r="D152" s="742"/>
      <c r="E152" s="742"/>
      <c r="F152" s="742"/>
      <c r="G152" s="730"/>
      <c r="H152" s="730"/>
      <c r="I152" s="730"/>
      <c r="J152" s="225"/>
      <c r="K152" s="227"/>
      <c r="L152" s="16" t="str">
        <f t="shared" si="3"/>
        <v/>
      </c>
    </row>
    <row r="153" spans="3:12" hidden="1" outlineLevel="1" x14ac:dyDescent="0.3">
      <c r="C153" s="199">
        <v>74</v>
      </c>
      <c r="D153" s="742"/>
      <c r="E153" s="742"/>
      <c r="F153" s="742"/>
      <c r="G153" s="730"/>
      <c r="H153" s="730"/>
      <c r="I153" s="730"/>
      <c r="J153" s="225"/>
      <c r="K153" s="227"/>
      <c r="L153" s="16" t="str">
        <f t="shared" si="3"/>
        <v/>
      </c>
    </row>
    <row r="154" spans="3:12" hidden="1" outlineLevel="1" x14ac:dyDescent="0.3">
      <c r="C154" s="199">
        <v>75</v>
      </c>
      <c r="D154" s="742"/>
      <c r="E154" s="742"/>
      <c r="F154" s="742"/>
      <c r="G154" s="730"/>
      <c r="H154" s="730"/>
      <c r="I154" s="730"/>
      <c r="J154" s="225"/>
      <c r="K154" s="227"/>
      <c r="L154" s="16" t="str">
        <f t="shared" si="3"/>
        <v/>
      </c>
    </row>
    <row r="155" spans="3:12" hidden="1" outlineLevel="1" x14ac:dyDescent="0.3">
      <c r="C155" s="199">
        <v>76</v>
      </c>
      <c r="D155" s="742"/>
      <c r="E155" s="742"/>
      <c r="F155" s="742"/>
      <c r="G155" s="730"/>
      <c r="H155" s="730"/>
      <c r="I155" s="730"/>
      <c r="J155" s="225"/>
      <c r="K155" s="227"/>
      <c r="L155" s="16" t="str">
        <f t="shared" si="3"/>
        <v/>
      </c>
    </row>
    <row r="156" spans="3:12" hidden="1" outlineLevel="1" x14ac:dyDescent="0.3">
      <c r="C156" s="199">
        <v>77</v>
      </c>
      <c r="D156" s="742"/>
      <c r="E156" s="742"/>
      <c r="F156" s="742"/>
      <c r="G156" s="730"/>
      <c r="H156" s="730"/>
      <c r="I156" s="730"/>
      <c r="J156" s="225"/>
      <c r="K156" s="227"/>
      <c r="L156" s="16" t="str">
        <f t="shared" si="3"/>
        <v/>
      </c>
    </row>
    <row r="157" spans="3:12" hidden="1" outlineLevel="1" x14ac:dyDescent="0.3">
      <c r="C157" s="199">
        <v>78</v>
      </c>
      <c r="D157" s="742"/>
      <c r="E157" s="742"/>
      <c r="F157" s="742"/>
      <c r="G157" s="730"/>
      <c r="H157" s="730"/>
      <c r="I157" s="730"/>
      <c r="J157" s="225"/>
      <c r="K157" s="227"/>
      <c r="L157" s="16" t="str">
        <f t="shared" si="3"/>
        <v/>
      </c>
    </row>
    <row r="158" spans="3:12" hidden="1" outlineLevel="1" x14ac:dyDescent="0.3">
      <c r="C158" s="199">
        <v>79</v>
      </c>
      <c r="D158" s="742"/>
      <c r="E158" s="742"/>
      <c r="F158" s="742"/>
      <c r="G158" s="730"/>
      <c r="H158" s="730"/>
      <c r="I158" s="730"/>
      <c r="J158" s="225"/>
      <c r="K158" s="227"/>
      <c r="L158" s="16" t="str">
        <f t="shared" si="3"/>
        <v/>
      </c>
    </row>
    <row r="159" spans="3:12" hidden="1" outlineLevel="1" x14ac:dyDescent="0.3">
      <c r="C159" s="199">
        <v>80</v>
      </c>
      <c r="D159" s="742"/>
      <c r="E159" s="742"/>
      <c r="F159" s="742"/>
      <c r="G159" s="730"/>
      <c r="H159" s="730"/>
      <c r="I159" s="730"/>
      <c r="J159" s="225"/>
      <c r="K159" s="227"/>
      <c r="L159" s="16" t="str">
        <f t="shared" si="3"/>
        <v/>
      </c>
    </row>
    <row r="160" spans="3:12" hidden="1" outlineLevel="1" x14ac:dyDescent="0.3">
      <c r="C160" s="199">
        <v>81</v>
      </c>
      <c r="D160" s="742"/>
      <c r="E160" s="742"/>
      <c r="F160" s="742"/>
      <c r="G160" s="730"/>
      <c r="H160" s="730"/>
      <c r="I160" s="730"/>
      <c r="J160" s="225"/>
      <c r="K160" s="227"/>
      <c r="L160" s="16" t="str">
        <f t="shared" si="3"/>
        <v/>
      </c>
    </row>
    <row r="161" spans="3:12" hidden="1" outlineLevel="1" x14ac:dyDescent="0.3">
      <c r="C161" s="199">
        <v>82</v>
      </c>
      <c r="D161" s="742"/>
      <c r="E161" s="742"/>
      <c r="F161" s="742"/>
      <c r="G161" s="730"/>
      <c r="H161" s="730"/>
      <c r="I161" s="730"/>
      <c r="J161" s="225"/>
      <c r="K161" s="227"/>
      <c r="L161" s="16" t="str">
        <f t="shared" si="3"/>
        <v/>
      </c>
    </row>
    <row r="162" spans="3:12" hidden="1" outlineLevel="1" x14ac:dyDescent="0.3">
      <c r="C162" s="199">
        <v>83</v>
      </c>
      <c r="D162" s="742"/>
      <c r="E162" s="742"/>
      <c r="F162" s="742"/>
      <c r="G162" s="730"/>
      <c r="H162" s="730"/>
      <c r="I162" s="730"/>
      <c r="J162" s="225"/>
      <c r="K162" s="227"/>
      <c r="L162" s="16" t="str">
        <f t="shared" si="3"/>
        <v/>
      </c>
    </row>
    <row r="163" spans="3:12" hidden="1" outlineLevel="1" x14ac:dyDescent="0.3">
      <c r="C163" s="199">
        <v>84</v>
      </c>
      <c r="D163" s="742"/>
      <c r="E163" s="742"/>
      <c r="F163" s="742"/>
      <c r="G163" s="730"/>
      <c r="H163" s="730"/>
      <c r="I163" s="730"/>
      <c r="J163" s="225"/>
      <c r="K163" s="227"/>
      <c r="L163" s="16" t="str">
        <f t="shared" si="3"/>
        <v/>
      </c>
    </row>
    <row r="164" spans="3:12" hidden="1" outlineLevel="1" x14ac:dyDescent="0.3">
      <c r="C164" s="199">
        <v>85</v>
      </c>
      <c r="D164" s="742"/>
      <c r="E164" s="742"/>
      <c r="F164" s="742"/>
      <c r="G164" s="730"/>
      <c r="H164" s="730"/>
      <c r="I164" s="730"/>
      <c r="J164" s="225"/>
      <c r="K164" s="227"/>
      <c r="L164" s="16" t="str">
        <f t="shared" si="3"/>
        <v/>
      </c>
    </row>
    <row r="165" spans="3:12" hidden="1" outlineLevel="1" x14ac:dyDescent="0.3">
      <c r="C165" s="199">
        <v>86</v>
      </c>
      <c r="D165" s="742"/>
      <c r="E165" s="742"/>
      <c r="F165" s="742"/>
      <c r="G165" s="730"/>
      <c r="H165" s="730"/>
      <c r="I165" s="730"/>
      <c r="J165" s="225"/>
      <c r="K165" s="227"/>
      <c r="L165" s="16" t="str">
        <f t="shared" si="3"/>
        <v/>
      </c>
    </row>
    <row r="166" spans="3:12" hidden="1" outlineLevel="1" x14ac:dyDescent="0.3">
      <c r="C166" s="199">
        <v>87</v>
      </c>
      <c r="D166" s="742"/>
      <c r="E166" s="742"/>
      <c r="F166" s="742"/>
      <c r="G166" s="730"/>
      <c r="H166" s="730"/>
      <c r="I166" s="730"/>
      <c r="J166" s="225"/>
      <c r="K166" s="227"/>
      <c r="L166" s="16" t="str">
        <f t="shared" si="3"/>
        <v/>
      </c>
    </row>
    <row r="167" spans="3:12" hidden="1" outlineLevel="1" x14ac:dyDescent="0.3">
      <c r="C167" s="199">
        <v>88</v>
      </c>
      <c r="D167" s="742"/>
      <c r="E167" s="742"/>
      <c r="F167" s="742"/>
      <c r="G167" s="730"/>
      <c r="H167" s="730"/>
      <c r="I167" s="730"/>
      <c r="J167" s="225"/>
      <c r="K167" s="227"/>
      <c r="L167" s="16" t="str">
        <f t="shared" si="3"/>
        <v/>
      </c>
    </row>
    <row r="168" spans="3:12" hidden="1" outlineLevel="1" x14ac:dyDescent="0.3">
      <c r="C168" s="199">
        <v>89</v>
      </c>
      <c r="D168" s="742"/>
      <c r="E168" s="742"/>
      <c r="F168" s="742"/>
      <c r="G168" s="730"/>
      <c r="H168" s="730"/>
      <c r="I168" s="730"/>
      <c r="J168" s="225"/>
      <c r="K168" s="227"/>
      <c r="L168" s="16" t="str">
        <f t="shared" si="3"/>
        <v/>
      </c>
    </row>
    <row r="169" spans="3:12" hidden="1" outlineLevel="1" x14ac:dyDescent="0.3">
      <c r="C169" s="199">
        <v>90</v>
      </c>
      <c r="D169" s="742"/>
      <c r="E169" s="742"/>
      <c r="F169" s="742"/>
      <c r="G169" s="730"/>
      <c r="H169" s="730"/>
      <c r="I169" s="730"/>
      <c r="J169" s="225"/>
      <c r="K169" s="227"/>
      <c r="L169" s="16" t="str">
        <f t="shared" si="3"/>
        <v/>
      </c>
    </row>
    <row r="170" spans="3:12" hidden="1" outlineLevel="1" x14ac:dyDescent="0.3">
      <c r="C170" s="199">
        <v>91</v>
      </c>
      <c r="D170" s="742"/>
      <c r="E170" s="742"/>
      <c r="F170" s="742"/>
      <c r="G170" s="730"/>
      <c r="H170" s="730"/>
      <c r="I170" s="730"/>
      <c r="J170" s="225"/>
      <c r="K170" s="227"/>
      <c r="L170" s="16" t="str">
        <f t="shared" si="3"/>
        <v/>
      </c>
    </row>
    <row r="171" spans="3:12" hidden="1" outlineLevel="1" x14ac:dyDescent="0.3">
      <c r="C171" s="199">
        <v>92</v>
      </c>
      <c r="D171" s="742"/>
      <c r="E171" s="742"/>
      <c r="F171" s="742"/>
      <c r="G171" s="730"/>
      <c r="H171" s="730"/>
      <c r="I171" s="730"/>
      <c r="J171" s="225"/>
      <c r="K171" s="227"/>
      <c r="L171" s="16" t="str">
        <f t="shared" si="3"/>
        <v/>
      </c>
    </row>
    <row r="172" spans="3:12" hidden="1" outlineLevel="1" x14ac:dyDescent="0.3">
      <c r="C172" s="199">
        <v>93</v>
      </c>
      <c r="D172" s="742"/>
      <c r="E172" s="742"/>
      <c r="F172" s="742"/>
      <c r="G172" s="730"/>
      <c r="H172" s="730"/>
      <c r="I172" s="730"/>
      <c r="J172" s="225"/>
      <c r="K172" s="227"/>
      <c r="L172" s="16" t="str">
        <f t="shared" si="3"/>
        <v/>
      </c>
    </row>
    <row r="173" spans="3:12" hidden="1" outlineLevel="1" x14ac:dyDescent="0.3">
      <c r="C173" s="199">
        <v>94</v>
      </c>
      <c r="D173" s="742"/>
      <c r="E173" s="742"/>
      <c r="F173" s="742"/>
      <c r="G173" s="730"/>
      <c r="H173" s="730"/>
      <c r="I173" s="730"/>
      <c r="J173" s="225"/>
      <c r="K173" s="227"/>
      <c r="L173" s="16" t="str">
        <f t="shared" si="3"/>
        <v/>
      </c>
    </row>
    <row r="174" spans="3:12" hidden="1" outlineLevel="1" x14ac:dyDescent="0.3">
      <c r="C174" s="199">
        <v>95</v>
      </c>
      <c r="D174" s="742"/>
      <c r="E174" s="742"/>
      <c r="F174" s="742"/>
      <c r="G174" s="730"/>
      <c r="H174" s="730"/>
      <c r="I174" s="730"/>
      <c r="J174" s="225"/>
      <c r="K174" s="227"/>
      <c r="L174" s="16" t="str">
        <f t="shared" si="3"/>
        <v/>
      </c>
    </row>
    <row r="175" spans="3:12" hidden="1" outlineLevel="1" x14ac:dyDescent="0.3">
      <c r="C175" s="199">
        <v>96</v>
      </c>
      <c r="D175" s="742"/>
      <c r="E175" s="742"/>
      <c r="F175" s="742"/>
      <c r="G175" s="730"/>
      <c r="H175" s="730"/>
      <c r="I175" s="730"/>
      <c r="J175" s="225"/>
      <c r="K175" s="227"/>
      <c r="L175" s="16" t="str">
        <f t="shared" si="3"/>
        <v/>
      </c>
    </row>
    <row r="176" spans="3:12" hidden="1" outlineLevel="1" x14ac:dyDescent="0.3">
      <c r="C176" s="199">
        <v>97</v>
      </c>
      <c r="D176" s="742"/>
      <c r="E176" s="742"/>
      <c r="F176" s="742"/>
      <c r="G176" s="730"/>
      <c r="H176" s="730"/>
      <c r="I176" s="730"/>
      <c r="J176" s="225"/>
      <c r="K176" s="227"/>
      <c r="L176" s="16" t="str">
        <f t="shared" si="3"/>
        <v/>
      </c>
    </row>
    <row r="177" spans="3:17" hidden="1" outlineLevel="1" x14ac:dyDescent="0.3">
      <c r="C177" s="199">
        <v>98</v>
      </c>
      <c r="D177" s="742"/>
      <c r="E177" s="742"/>
      <c r="F177" s="742"/>
      <c r="G177" s="730"/>
      <c r="H177" s="730"/>
      <c r="I177" s="730"/>
      <c r="J177" s="225"/>
      <c r="K177" s="227"/>
      <c r="L177" s="16" t="str">
        <f t="shared" si="3"/>
        <v/>
      </c>
    </row>
    <row r="178" spans="3:17" hidden="1" outlineLevel="1" x14ac:dyDescent="0.3">
      <c r="C178" s="199">
        <v>99</v>
      </c>
      <c r="D178" s="742"/>
      <c r="E178" s="742"/>
      <c r="F178" s="742"/>
      <c r="G178" s="730"/>
      <c r="H178" s="730"/>
      <c r="I178" s="730"/>
      <c r="J178" s="225"/>
      <c r="K178" s="227"/>
      <c r="L178" s="16" t="str">
        <f t="shared" si="3"/>
        <v/>
      </c>
    </row>
    <row r="179" spans="3:17" ht="15" hidden="1" outlineLevel="1" thickBot="1" x14ac:dyDescent="0.35">
      <c r="C179" s="199">
        <v>100</v>
      </c>
      <c r="D179" s="742"/>
      <c r="E179" s="742"/>
      <c r="F179" s="742"/>
      <c r="G179" s="778"/>
      <c r="H179" s="778"/>
      <c r="I179" s="778"/>
      <c r="J179" s="228"/>
      <c r="K179" s="232"/>
      <c r="L179" s="16" t="str">
        <f t="shared" si="3"/>
        <v/>
      </c>
    </row>
    <row r="180" spans="3:17" ht="15" collapsed="1" thickBot="1" x14ac:dyDescent="0.35">
      <c r="C180" s="14"/>
      <c r="D180" s="14"/>
      <c r="E180" s="14"/>
      <c r="F180" s="14"/>
      <c r="G180" s="14"/>
      <c r="H180" s="14"/>
      <c r="I180" s="14"/>
      <c r="J180" s="14"/>
      <c r="K180" s="14"/>
    </row>
    <row r="181" spans="3:17" ht="15" thickBot="1" x14ac:dyDescent="0.35">
      <c r="C181" s="661" t="str">
        <f>template_label_b5_sites_in_biodiversity_sensitive_areas&amp;" "&amp;template_label_from&amp;" "&amp;template_starting_date_display&amp;" "&amp;template_label_to&amp;" "&amp;template_ending_date_display&amp;" "&amp;template_label_if_applicable</f>
        <v>B5 – Sites situés dans des zones sensibles sur le plan de la biodiversité du - au - [Le cas échéant]</v>
      </c>
      <c r="D181" s="789"/>
      <c r="E181" s="789"/>
      <c r="F181" s="789"/>
      <c r="G181" s="789"/>
      <c r="H181" s="789"/>
      <c r="I181" s="789"/>
      <c r="J181" s="789"/>
      <c r="K181" s="790"/>
    </row>
    <row r="182" spans="3:17" x14ac:dyDescent="0.3">
      <c r="C182" s="636">
        <v>33</v>
      </c>
      <c r="D182" s="783"/>
      <c r="E182" s="783"/>
      <c r="F182" s="783"/>
      <c r="G182" s="783"/>
      <c r="H182" s="783"/>
      <c r="I182" s="783"/>
      <c r="J182" s="783"/>
      <c r="K182" s="784"/>
    </row>
    <row r="183" spans="3:17" x14ac:dyDescent="0.3">
      <c r="C183" s="645" t="s">
        <v>41</v>
      </c>
      <c r="D183" s="622"/>
      <c r="E183" s="622"/>
      <c r="F183" s="622"/>
      <c r="G183" s="622"/>
      <c r="H183" s="622"/>
      <c r="I183" s="622"/>
      <c r="J183" s="622"/>
      <c r="K183" s="741"/>
    </row>
    <row r="184" spans="3:17" x14ac:dyDescent="0.3">
      <c r="C184" s="769" t="str">
        <f>template_label_does_the_undertaking_have_sites_that_are_located_in_or_near_biodiversity_sensitive_areas</f>
        <v>L'entreprise dispose-t-elle de sites situés dans ou à proximité de zones sensibles sur le plan de la biodiversité ?</v>
      </c>
      <c r="D184" s="770"/>
      <c r="E184" s="770"/>
      <c r="F184" s="770"/>
      <c r="G184" s="926" t="b">
        <v>0</v>
      </c>
      <c r="H184" s="926"/>
      <c r="I184" s="926"/>
      <c r="J184" s="926"/>
      <c r="K184" s="927"/>
    </row>
    <row r="185" spans="3:17" x14ac:dyDescent="0.3">
      <c r="C185" s="928" t="str">
        <f>template_label_please_select_the_unit_used_for_the_area</f>
        <v>Veuillez sélectionner l’unité utilisée pour la superficie (c.-à-d. soit en hectares, soit en m²) :</v>
      </c>
      <c r="D185" s="929"/>
      <c r="E185" s="929"/>
      <c r="F185" s="929"/>
      <c r="G185" s="929"/>
      <c r="H185" s="929"/>
      <c r="I185" s="929"/>
      <c r="J185" s="929"/>
      <c r="K185" s="930"/>
    </row>
    <row r="186" spans="3:17" ht="15" thickBot="1" x14ac:dyDescent="0.35">
      <c r="C186" s="902"/>
      <c r="D186" s="780"/>
      <c r="E186" s="780"/>
      <c r="F186" s="780"/>
      <c r="G186" s="780"/>
      <c r="H186" s="780"/>
      <c r="I186" s="780"/>
      <c r="J186" s="780"/>
      <c r="K186" s="903"/>
      <c r="L186" s="17" t="str">
        <f>IF(AND(G184=TRUE,C186=""), template_label_missing_value, IF(AND(G184=TRUE,C186&lt;&gt;""), template_label_ok, ""))</f>
        <v/>
      </c>
    </row>
    <row r="187" spans="3:17" ht="57.6" customHeight="1" x14ac:dyDescent="0.3">
      <c r="C187" s="400" t="str">
        <f>template_label_related_site_id</f>
        <v>ID du site associé (sélectionnez un ID parmi les sites déclarés dans B1)</v>
      </c>
      <c r="D187" s="899" t="str">
        <f>template_label_site_location_in_near_a_biodiversity_area</f>
        <v>Localisation du site à proximité d'une zone de biodiversité - rempli automatiquement à partir de B1</v>
      </c>
      <c r="E187" s="900"/>
      <c r="F187" s="901"/>
      <c r="G187" s="899" t="str">
        <f>template_label_area_hectares_or_m2</f>
        <v>Superficie (en hectares ou en m² selon la sélection ci-dessus)</v>
      </c>
      <c r="H187" s="900"/>
      <c r="I187" s="901"/>
      <c r="J187" s="274" t="str">
        <f>template_label_site_located_in_a_biodiversity_sensitive_area</f>
        <v>Site situé dans une zone sensible sur le plan de la biodiversité</v>
      </c>
      <c r="K187" s="401" t="str">
        <f>template_label_site_located_near_a_biodiversity_sensitive_area</f>
        <v>Site situé à proximité d'une zone sensible sur le plan de la biodiversité</v>
      </c>
    </row>
    <row r="188" spans="3:17" x14ac:dyDescent="0.3">
      <c r="C188" s="199"/>
      <c r="D188" s="824" t="str">
        <f>IF(C188 = "", "",
IF(AND(COUNTIF('General Information'!C406:C505, C188),
        INDEX('General Information'!D406:D505, MATCH(C188, 'General Information'!C406:C505, 0)) = ""),
   "VALUE INCONSISTENCY",
IFERROR(VLOOKUP(C188, ListOfSitesTable, 5, FALSE),"") &amp; " " &amp;
IFERROR(VLOOKUP(C188, ListOfSitesTable, 4, FALSE),"") &amp; " " &amp;
IFERROR(VLOOKUP(C188, ListOfSitesTable, 2, FALSE),"")))</f>
        <v/>
      </c>
      <c r="E188" s="825"/>
      <c r="F188" s="826"/>
      <c r="G188" s="727"/>
      <c r="H188" s="728"/>
      <c r="I188" s="728"/>
      <c r="J188" s="206" t="b">
        <v>0</v>
      </c>
      <c r="K188" s="204" t="b">
        <v>0</v>
      </c>
      <c r="L188" s="17" t="str">
        <f t="shared" ref="L188:L286" si="4">IF($G$184=FALSE, "",
    IF(AND($G$184=TRUE, TRIM(D188)&lt;&gt;"", TRIM(G188)&lt;&gt;"", OR(J188=TRUE, K188=TRUE)), template_label_ok,
        IF(AND($G$184=TRUE, TRIM(D188)&lt;&gt;"", TRIM(G188)&lt;&gt;"", J188=FALSE, K188=FALSE), template_label_missing_value,
            IF(AND($G$184=TRUE, TRIM(D188)&lt;&gt;"", TRIM(G188)="", J188=FALSE, K188=FALSE), template_label_missing_value,
                IF(AND($G$184=TRUE, TRIM(D188)&lt;&gt;"", TRIM(G188)="", OR(J188=TRUE, K188=TRUE)), template_label_missing_value,
                    IF(AND($G$184=TRUE, TRIM(D188)="", TRIM(G188)&lt;&gt;"", J188=FALSE, K188=FALSE), template_label_missing_value,
                        IF(AND($G$184=TRUE, TRIM(D188)="", TRIM(G188)="", OR(J188=TRUE, K188=TRUE)), template_label_missing_value,
                            IF(AND($G$184=TRUE, TRIM(D188)="", TRIM(G188)&lt;&gt;"", OR(J188=TRUE, K188=TRUE)), template_label_missing_value,
                                ""
                            )
                        )
                    )
                )
            )
        )
    )
)</f>
        <v/>
      </c>
      <c r="M188" t="str">
        <f>template_label_site_ID_value_inconsistency_warning</f>
        <v>ℹ️ Si une validation liée à une incohérence de valeur s'affiche, veuillez sélectionner un identifiant de site différent de ceux précédemment sélectionnés.</v>
      </c>
    </row>
    <row r="189" spans="3:17" x14ac:dyDescent="0.3">
      <c r="C189" s="199"/>
      <c r="D189" s="775" t="str">
        <f>IF(C189 = "", "",
IF(COUNTIF($C$188:C188, C189), "VALUE INCONSISTENCY",
IF(AND(COUNTIF('General Information'!$C$406:$C$505, C189),
       INDEX('General Information'!$D$406:$D$505, MATCH(C189, 'General Information'!$C$406:$C$505, 0)) = ""),
   "VALUE INCONSISTENCY",
IFERROR(VLOOKUP(C189, ListOfSitesTable, 5, FALSE), "") &amp; " " &amp;
IFERROR(VLOOKUP(C189, ListOfSitesTable, 4, FALSE), "") &amp; " " &amp;
IFERROR(VLOOKUP(C189, ListOfSitesTable, 2, FALSE), ""))))</f>
        <v/>
      </c>
      <c r="E189" s="776"/>
      <c r="F189" s="777"/>
      <c r="G189" s="727"/>
      <c r="H189" s="728"/>
      <c r="I189" s="728"/>
      <c r="J189" s="206" t="b">
        <v>0</v>
      </c>
      <c r="K189" s="204" t="b">
        <v>0</v>
      </c>
      <c r="L189" s="17" t="str">
        <f t="shared" si="4"/>
        <v/>
      </c>
    </row>
    <row r="190" spans="3:17" ht="15" thickBot="1" x14ac:dyDescent="0.35">
      <c r="C190" s="201"/>
      <c r="D190" s="842" t="str">
        <f>IF(C190 = "", "",
IF(COUNTIF($C$188:C189, C190), "VALUE INCONSISTENCY",
IF(AND(COUNTIF('General Information'!$C$406:$C$505, C190),
       INDEX('General Information'!$D$406:$D$505, MATCH(C190, 'General Information'!$C$406:$C$505, 0)) = ""),
   "VALUE INCONSISTENCY",
IFERROR(VLOOKUP(C190, ListOfSitesTable, 5, FALSE), "") &amp; " " &amp;
IFERROR(VLOOKUP(C190, ListOfSitesTable, 4, FALSE), "") &amp; " " &amp;
IFERROR(VLOOKUP(C190, ListOfSitesTable, 2, FALSE), ""))))</f>
        <v/>
      </c>
      <c r="E190" s="843"/>
      <c r="F190" s="844"/>
      <c r="G190" s="909"/>
      <c r="H190" s="909"/>
      <c r="I190" s="909"/>
      <c r="J190" s="207" t="b">
        <v>0</v>
      </c>
      <c r="K190" s="205" t="b">
        <v>0</v>
      </c>
      <c r="L190" s="17" t="str">
        <f t="shared" si="4"/>
        <v/>
      </c>
      <c r="M190" t="str">
        <f>template_label_additional_rows_warning</f>
        <v>ℹ️Les listes peuvent être déroulées à l’aide du bouton plus [+] situé à gauche. Si le nombre de lignes n’est pas suffisant, des lignes supplémentaires peuvent être ajoutées en cliquant avec le bouton droit sur la deuxième ligne et en sélectionnant « Insérer une ligne ».</v>
      </c>
    </row>
    <row r="191" spans="3:17" hidden="1" outlineLevel="1" x14ac:dyDescent="0.3">
      <c r="C191" s="200"/>
      <c r="D191" s="772" t="str">
        <f>IF(C191 = "", "",
IF(COUNTIF($C$188:C190, C191), "VALUE INCONSISTENCY",
IF(AND(COUNTIF('General Information'!$C$406:$C$505, C191),
       INDEX('General Information'!$D$406:$D$505, MATCH(C191, 'General Information'!$C$406:$C$505, 0)) = ""),
   "VALUE INCONSISTENCY",
IFERROR(VLOOKUP(C191, ListOfSitesTable, 5, FALSE), "") &amp; " " &amp;
IFERROR(VLOOKUP(C191, ListOfSitesTable, 4, FALSE), "") &amp; " " &amp;
IFERROR(VLOOKUP(C191, ListOfSitesTable, 2, FALSE), ""))))</f>
        <v/>
      </c>
      <c r="E191" s="773"/>
      <c r="F191" s="774"/>
      <c r="G191" s="959"/>
      <c r="H191" s="960"/>
      <c r="I191" s="961"/>
      <c r="J191" s="208" t="b">
        <v>0</v>
      </c>
      <c r="K191" s="203" t="b">
        <v>0</v>
      </c>
      <c r="L191" s="17" t="str">
        <f t="shared" si="4"/>
        <v/>
      </c>
      <c r="M191" s="10"/>
      <c r="N191" s="10"/>
      <c r="O191" s="10"/>
      <c r="P191" s="10"/>
      <c r="Q191" s="10"/>
    </row>
    <row r="192" spans="3:17" hidden="1" outlineLevel="1" x14ac:dyDescent="0.3">
      <c r="C192" s="200"/>
      <c r="D192" s="775" t="str">
        <f>IF(C192 = "", "",
IF(COUNTIF($C$188:C191, C192), "VALUE INCONSISTENCY",
IF(AND(COUNTIF('General Information'!$C$406:$C$505, C192),
       INDEX('General Information'!$D$406:$D$505, MATCH(C192, 'General Information'!$C$406:$C$505, 0)) = ""),
   "VALUE INCONSISTENCY",
IFERROR(VLOOKUP(C192, ListOfSitesTable, 5, FALSE), "") &amp; " " &amp;
IFERROR(VLOOKUP(C192, ListOfSitesTable, 4, FALSE), "") &amp; " " &amp;
IFERROR(VLOOKUP(C192, ListOfSitesTable, 2, FALSE), ""))))</f>
        <v/>
      </c>
      <c r="E192" s="776"/>
      <c r="F192" s="777"/>
      <c r="G192" s="727"/>
      <c r="H192" s="728"/>
      <c r="I192" s="729"/>
      <c r="J192" s="209" t="b">
        <v>0</v>
      </c>
      <c r="K192" s="204" t="b">
        <v>0</v>
      </c>
      <c r="L192" s="17" t="str">
        <f t="shared" si="4"/>
        <v/>
      </c>
      <c r="M192" s="10"/>
      <c r="N192" s="10"/>
      <c r="O192" s="10"/>
      <c r="P192" s="10"/>
      <c r="Q192" s="10"/>
    </row>
    <row r="193" spans="3:17" hidden="1" outlineLevel="1" x14ac:dyDescent="0.3">
      <c r="C193" s="199"/>
      <c r="D193" s="775" t="str">
        <f>IF(C193 = "", "",
IF(COUNTIF($C$188:C192, C193), "VALUE INCONSISTENCY",
IF(AND(COUNTIF('General Information'!$C$406:$C$505, C193),
       INDEX('General Information'!$D$406:$D$505, MATCH(C193, 'General Information'!$C$406:$C$505, 0)) = ""),
   "VALUE INCONSISTENCY",
IFERROR(VLOOKUP(C193, ListOfSitesTable, 5, FALSE), "") &amp; " " &amp;
IFERROR(VLOOKUP(C193, ListOfSitesTable, 4, FALSE), "") &amp; " " &amp;
IFERROR(VLOOKUP(C193, ListOfSitesTable, 2, FALSE), ""))))</f>
        <v/>
      </c>
      <c r="E193" s="776"/>
      <c r="F193" s="777"/>
      <c r="G193" s="727"/>
      <c r="H193" s="728"/>
      <c r="I193" s="729"/>
      <c r="J193" s="209" t="b">
        <v>0</v>
      </c>
      <c r="K193" s="204" t="b">
        <v>0</v>
      </c>
      <c r="L193" s="17" t="str">
        <f t="shared" si="4"/>
        <v/>
      </c>
      <c r="M193" s="10"/>
      <c r="N193" s="10"/>
      <c r="O193" s="10"/>
      <c r="P193" s="10"/>
      <c r="Q193" s="10"/>
    </row>
    <row r="194" spans="3:17" hidden="1" outlineLevel="1" x14ac:dyDescent="0.3">
      <c r="C194" s="199"/>
      <c r="D194" s="775" t="str">
        <f>IF(C194 = "", "",
IF(COUNTIF($C$188:C193, C194), "VALUE INCONSISTENCY",
IF(AND(COUNTIF('General Information'!$C$406:$C$505, C194),
       INDEX('General Information'!$D$406:$D$505, MATCH(C194, 'General Information'!$C$406:$C$505, 0)) = ""),
   "VALUE INCONSISTENCY",
IFERROR(VLOOKUP(C194, ListOfSitesTable, 5, FALSE), "") &amp; " " &amp;
IFERROR(VLOOKUP(C194, ListOfSitesTable, 4, FALSE), "") &amp; " " &amp;
IFERROR(VLOOKUP(C194, ListOfSitesTable, 2, FALSE), ""))))</f>
        <v/>
      </c>
      <c r="E194" s="776"/>
      <c r="F194" s="777"/>
      <c r="G194" s="727"/>
      <c r="H194" s="728"/>
      <c r="I194" s="729"/>
      <c r="J194" s="209" t="b">
        <v>0</v>
      </c>
      <c r="K194" s="204" t="b">
        <v>0</v>
      </c>
      <c r="L194" s="17" t="str">
        <f t="shared" si="4"/>
        <v/>
      </c>
      <c r="M194" s="10"/>
      <c r="N194" s="10"/>
      <c r="O194" s="10"/>
      <c r="P194" s="10"/>
      <c r="Q194" s="10"/>
    </row>
    <row r="195" spans="3:17" hidden="1" outlineLevel="1" x14ac:dyDescent="0.3">
      <c r="C195" s="199"/>
      <c r="D195" s="775" t="str">
        <f>IF(C195 = "", "",
IF(COUNTIF($C$188:C194, C195), "VALUE INCONSISTENCY",
IF(AND(COUNTIF('General Information'!$C$406:$C$505, C195),
       INDEX('General Information'!$D$406:$D$505, MATCH(C195, 'General Information'!$C$406:$C$505, 0)) = ""),
   "VALUE INCONSISTENCY",
IFERROR(VLOOKUP(C195, ListOfSitesTable, 5, FALSE), "") &amp; " " &amp;
IFERROR(VLOOKUP(C195, ListOfSitesTable, 4, FALSE), "") &amp; " " &amp;
IFERROR(VLOOKUP(C195, ListOfSitesTable, 2, FALSE), ""))))</f>
        <v/>
      </c>
      <c r="E195" s="776"/>
      <c r="F195" s="777"/>
      <c r="G195" s="727"/>
      <c r="H195" s="728"/>
      <c r="I195" s="729"/>
      <c r="J195" s="209" t="b">
        <v>0</v>
      </c>
      <c r="K195" s="204" t="b">
        <v>0</v>
      </c>
      <c r="L195" s="17" t="str">
        <f t="shared" si="4"/>
        <v/>
      </c>
      <c r="M195" s="10"/>
      <c r="N195" s="10"/>
      <c r="O195" s="10"/>
      <c r="P195" s="10"/>
      <c r="Q195" s="10"/>
    </row>
    <row r="196" spans="3:17" hidden="1" outlineLevel="1" x14ac:dyDescent="0.3">
      <c r="C196" s="199"/>
      <c r="D196" s="775" t="str">
        <f>IF(C196 = "", "",
IF(COUNTIF($C$188:C195, C196), "VALUE INCONSISTENCY",
IF(AND(COUNTIF('General Information'!$C$406:$C$505, C196),
       INDEX('General Information'!$D$406:$D$505, MATCH(C196, 'General Information'!$C$406:$C$505, 0)) = ""),
   "VALUE INCONSISTENCY",
IFERROR(VLOOKUP(C196, ListOfSitesTable, 5, FALSE), "") &amp; " " &amp;
IFERROR(VLOOKUP(C196, ListOfSitesTable, 4, FALSE), "") &amp; " " &amp;
IFERROR(VLOOKUP(C196, ListOfSitesTable, 2, FALSE), ""))))</f>
        <v/>
      </c>
      <c r="E196" s="776"/>
      <c r="F196" s="777"/>
      <c r="G196" s="727"/>
      <c r="H196" s="728"/>
      <c r="I196" s="729"/>
      <c r="J196" s="209" t="b">
        <v>0</v>
      </c>
      <c r="K196" s="204" t="b">
        <v>0</v>
      </c>
      <c r="L196" s="17" t="str">
        <f t="shared" si="4"/>
        <v/>
      </c>
      <c r="M196" s="10"/>
      <c r="N196" s="10"/>
      <c r="O196" s="10"/>
      <c r="P196" s="10"/>
      <c r="Q196" s="10"/>
    </row>
    <row r="197" spans="3:17" hidden="1" outlineLevel="1" x14ac:dyDescent="0.3">
      <c r="C197" s="199"/>
      <c r="D197" s="775" t="str">
        <f>IF(C197 = "", "",
IF(COUNTIF($C$188:C196, C197), "VALUE INCONSISTENCY",
IF(AND(COUNTIF('General Information'!$C$406:$C$505, C197),
       INDEX('General Information'!$D$406:$D$505, MATCH(C197, 'General Information'!$C$406:$C$505, 0)) = ""),
   "VALUE INCONSISTENCY",
IFERROR(VLOOKUP(C197, ListOfSitesTable, 5, FALSE), "") &amp; " " &amp;
IFERROR(VLOOKUP(C197, ListOfSitesTable, 4, FALSE), "") &amp; " " &amp;
IFERROR(VLOOKUP(C197, ListOfSitesTable, 2, FALSE), ""))))</f>
        <v/>
      </c>
      <c r="E197" s="776"/>
      <c r="F197" s="777"/>
      <c r="G197" s="727"/>
      <c r="H197" s="728"/>
      <c r="I197" s="729"/>
      <c r="J197" s="209" t="b">
        <v>0</v>
      </c>
      <c r="K197" s="204" t="b">
        <v>0</v>
      </c>
      <c r="L197" s="17" t="str">
        <f t="shared" si="4"/>
        <v/>
      </c>
      <c r="M197" s="10"/>
      <c r="N197" s="10"/>
      <c r="O197" s="10"/>
      <c r="P197" s="10"/>
      <c r="Q197" s="10"/>
    </row>
    <row r="198" spans="3:17" hidden="1" outlineLevel="1" x14ac:dyDescent="0.3">
      <c r="C198" s="199"/>
      <c r="D198" s="775" t="str">
        <f>IF(C198 = "", "",
IF(COUNTIF($C$188:C197, C198), "VALUE INCONSISTENCY",
IF(AND(COUNTIF('General Information'!$C$406:$C$505, C198),
       INDEX('General Information'!$D$406:$D$505, MATCH(C198, 'General Information'!$C$406:$C$505, 0)) = ""),
   "VALUE INCONSISTENCY",
IFERROR(VLOOKUP(C198, ListOfSitesTable, 5, FALSE), "") &amp; " " &amp;
IFERROR(VLOOKUP(C198, ListOfSitesTable, 4, FALSE), "") &amp; " " &amp;
IFERROR(VLOOKUP(C198, ListOfSitesTable, 2, FALSE), ""))))</f>
        <v/>
      </c>
      <c r="E198" s="776"/>
      <c r="F198" s="777"/>
      <c r="G198" s="727"/>
      <c r="H198" s="728"/>
      <c r="I198" s="729"/>
      <c r="J198" s="209" t="b">
        <v>0</v>
      </c>
      <c r="K198" s="204" t="b">
        <v>0</v>
      </c>
      <c r="L198" s="17" t="str">
        <f t="shared" si="4"/>
        <v/>
      </c>
      <c r="M198" s="10"/>
      <c r="N198" s="10"/>
      <c r="O198" s="10"/>
      <c r="P198" s="10"/>
      <c r="Q198" s="10"/>
    </row>
    <row r="199" spans="3:17" hidden="1" outlineLevel="1" x14ac:dyDescent="0.3">
      <c r="C199" s="199"/>
      <c r="D199" s="775" t="str">
        <f>IF(C199 = "", "",
IF(COUNTIF($C$188:C198, C199), "VALUE INCONSISTENCY",
IF(AND(COUNTIF('General Information'!$C$406:$C$505, C199),
       INDEX('General Information'!$D$406:$D$505, MATCH(C199, 'General Information'!$C$406:$C$505, 0)) = ""),
   "VALUE INCONSISTENCY",
IFERROR(VLOOKUP(C199, ListOfSitesTable, 5, FALSE), "") &amp; " " &amp;
IFERROR(VLOOKUP(C199, ListOfSitesTable, 4, FALSE), "") &amp; " " &amp;
IFERROR(VLOOKUP(C199, ListOfSitesTable, 2, FALSE), ""))))</f>
        <v/>
      </c>
      <c r="E199" s="776"/>
      <c r="F199" s="777"/>
      <c r="G199" s="727"/>
      <c r="H199" s="728"/>
      <c r="I199" s="729"/>
      <c r="J199" s="209" t="b">
        <v>0</v>
      </c>
      <c r="K199" s="204" t="b">
        <v>0</v>
      </c>
      <c r="L199" s="17" t="str">
        <f t="shared" si="4"/>
        <v/>
      </c>
      <c r="M199" s="10"/>
      <c r="N199" s="10"/>
      <c r="O199" s="10"/>
      <c r="P199" s="10"/>
      <c r="Q199" s="10"/>
    </row>
    <row r="200" spans="3:17" hidden="1" outlineLevel="1" x14ac:dyDescent="0.3">
      <c r="C200" s="199"/>
      <c r="D200" s="775" t="str">
        <f>IF(C200 = "", "",
IF(COUNTIF($C$188:C199, C200), "VALUE INCONSISTENCY",
IF(AND(COUNTIF('General Information'!$C$406:$C$505, C200),
       INDEX('General Information'!$D$406:$D$505, MATCH(C200, 'General Information'!$C$406:$C$505, 0)) = ""),
   "VALUE INCONSISTENCY",
IFERROR(VLOOKUP(C200, ListOfSitesTable, 5, FALSE), "") &amp; " " &amp;
IFERROR(VLOOKUP(C200, ListOfSitesTable, 4, FALSE), "") &amp; " " &amp;
IFERROR(VLOOKUP(C200, ListOfSitesTable, 2, FALSE), ""))))</f>
        <v/>
      </c>
      <c r="E200" s="776"/>
      <c r="F200" s="777"/>
      <c r="G200" s="727"/>
      <c r="H200" s="728"/>
      <c r="I200" s="729"/>
      <c r="J200" s="209" t="b">
        <v>0</v>
      </c>
      <c r="K200" s="204" t="b">
        <v>0</v>
      </c>
      <c r="L200" s="17" t="str">
        <f t="shared" si="4"/>
        <v/>
      </c>
      <c r="M200" s="10"/>
      <c r="N200" s="10"/>
      <c r="O200" s="10"/>
      <c r="P200" s="10"/>
      <c r="Q200" s="10"/>
    </row>
    <row r="201" spans="3:17" hidden="1" outlineLevel="1" x14ac:dyDescent="0.3">
      <c r="C201" s="199"/>
      <c r="D201" s="775" t="str">
        <f>IF(C201 = "", "",
IF(COUNTIF($C$188:C200, C201), "VALUE INCONSISTENCY",
IF(AND(COUNTIF('General Information'!$C$406:$C$505, C201),
       INDEX('General Information'!$D$406:$D$505, MATCH(C201, 'General Information'!$C$406:$C$505, 0)) = ""),
   "VALUE INCONSISTENCY",
IFERROR(VLOOKUP(C201, ListOfSitesTable, 5, FALSE), "") &amp; " " &amp;
IFERROR(VLOOKUP(C201, ListOfSitesTable, 4, FALSE), "") &amp; " " &amp;
IFERROR(VLOOKUP(C201, ListOfSitesTable, 2, FALSE), ""))))</f>
        <v/>
      </c>
      <c r="E201" s="776"/>
      <c r="F201" s="777"/>
      <c r="G201" s="727"/>
      <c r="H201" s="728"/>
      <c r="I201" s="729"/>
      <c r="J201" s="209" t="b">
        <v>0</v>
      </c>
      <c r="K201" s="204" t="b">
        <v>0</v>
      </c>
      <c r="L201" s="17" t="str">
        <f t="shared" si="4"/>
        <v/>
      </c>
      <c r="M201" s="10"/>
      <c r="N201" s="10"/>
      <c r="O201" s="10"/>
      <c r="P201" s="10"/>
      <c r="Q201" s="10"/>
    </row>
    <row r="202" spans="3:17" hidden="1" outlineLevel="1" x14ac:dyDescent="0.3">
      <c r="C202" s="199"/>
      <c r="D202" s="775" t="str">
        <f>IF(C202 = "", "",
IF(COUNTIF($C$188:C201, C202), "VALUE INCONSISTENCY",
IF(AND(COUNTIF('General Information'!$C$406:$C$505, C202),
       INDEX('General Information'!$D$406:$D$505, MATCH(C202, 'General Information'!$C$406:$C$505, 0)) = ""),
   "VALUE INCONSISTENCY",
IFERROR(VLOOKUP(C202, ListOfSitesTable, 5, FALSE), "") &amp; " " &amp;
IFERROR(VLOOKUP(C202, ListOfSitesTable, 4, FALSE), "") &amp; " " &amp;
IFERROR(VLOOKUP(C202, ListOfSitesTable, 2, FALSE), ""))))</f>
        <v/>
      </c>
      <c r="E202" s="776"/>
      <c r="F202" s="777"/>
      <c r="G202" s="727"/>
      <c r="H202" s="728"/>
      <c r="I202" s="729"/>
      <c r="J202" s="209" t="b">
        <v>0</v>
      </c>
      <c r="K202" s="204" t="b">
        <v>0</v>
      </c>
      <c r="L202" s="17" t="str">
        <f t="shared" si="4"/>
        <v/>
      </c>
      <c r="M202" s="10"/>
      <c r="N202" s="10"/>
      <c r="O202" s="10"/>
      <c r="P202" s="10"/>
      <c r="Q202" s="10"/>
    </row>
    <row r="203" spans="3:17" hidden="1" outlineLevel="1" x14ac:dyDescent="0.3">
      <c r="C203" s="199"/>
      <c r="D203" s="775" t="str">
        <f>IF(C203 = "", "",
IF(COUNTIF($C$188:C202, C203), "VALUE INCONSISTENCY",
IF(AND(COUNTIF('General Information'!$C$406:$C$505, C203),
       INDEX('General Information'!$D$406:$D$505, MATCH(C203, 'General Information'!$C$406:$C$505, 0)) = ""),
   "VALUE INCONSISTENCY",
IFERROR(VLOOKUP(C203, ListOfSitesTable, 5, FALSE), "") &amp; " " &amp;
IFERROR(VLOOKUP(C203, ListOfSitesTable, 4, FALSE), "") &amp; " " &amp;
IFERROR(VLOOKUP(C203, ListOfSitesTable, 2, FALSE), ""))))</f>
        <v/>
      </c>
      <c r="E203" s="776"/>
      <c r="F203" s="777"/>
      <c r="G203" s="727"/>
      <c r="H203" s="728"/>
      <c r="I203" s="729"/>
      <c r="J203" s="209" t="b">
        <v>0</v>
      </c>
      <c r="K203" s="204" t="b">
        <v>0</v>
      </c>
      <c r="L203" s="17" t="str">
        <f t="shared" si="4"/>
        <v/>
      </c>
      <c r="M203" s="10"/>
      <c r="N203" s="10"/>
      <c r="O203" s="10"/>
      <c r="P203" s="10"/>
      <c r="Q203" s="10"/>
    </row>
    <row r="204" spans="3:17" hidden="1" outlineLevel="1" x14ac:dyDescent="0.3">
      <c r="C204" s="199"/>
      <c r="D204" s="775" t="str">
        <f>IF(C204 = "", "",
IF(COUNTIF($C$188:C203, C204), "VALUE INCONSISTENCY",
IF(AND(COUNTIF('General Information'!$C$406:$C$505, C204),
       INDEX('General Information'!$D$406:$D$505, MATCH(C204, 'General Information'!$C$406:$C$505, 0)) = ""),
   "VALUE INCONSISTENCY",
IFERROR(VLOOKUP(C204, ListOfSitesTable, 5, FALSE), "") &amp; " " &amp;
IFERROR(VLOOKUP(C204, ListOfSitesTable, 4, FALSE), "") &amp; " " &amp;
IFERROR(VLOOKUP(C204, ListOfSitesTable, 2, FALSE), ""))))</f>
        <v/>
      </c>
      <c r="E204" s="776"/>
      <c r="F204" s="777"/>
      <c r="G204" s="727"/>
      <c r="H204" s="728"/>
      <c r="I204" s="729"/>
      <c r="J204" s="209" t="b">
        <v>0</v>
      </c>
      <c r="K204" s="204" t="b">
        <v>0</v>
      </c>
      <c r="L204" s="17" t="str">
        <f t="shared" si="4"/>
        <v/>
      </c>
      <c r="M204" s="10"/>
      <c r="N204" s="10"/>
      <c r="O204" s="10"/>
      <c r="P204" s="10"/>
      <c r="Q204" s="10"/>
    </row>
    <row r="205" spans="3:17" hidden="1" outlineLevel="1" x14ac:dyDescent="0.3">
      <c r="C205" s="199"/>
      <c r="D205" s="775" t="str">
        <f>IF(C205 = "", "",
IF(COUNTIF($C$188:C204, C205), "VALUE INCONSISTENCY",
IF(AND(COUNTIF('General Information'!$C$406:$C$505, C205),
       INDEX('General Information'!$D$406:$D$505, MATCH(C205, 'General Information'!$C$406:$C$505, 0)) = ""),
   "VALUE INCONSISTENCY",
IFERROR(VLOOKUP(C205, ListOfSitesTable, 5, FALSE), "") &amp; " " &amp;
IFERROR(VLOOKUP(C205, ListOfSitesTable, 4, FALSE), "") &amp; " " &amp;
IFERROR(VLOOKUP(C205, ListOfSitesTable, 2, FALSE), ""))))</f>
        <v/>
      </c>
      <c r="E205" s="776"/>
      <c r="F205" s="777"/>
      <c r="G205" s="727"/>
      <c r="H205" s="728"/>
      <c r="I205" s="729"/>
      <c r="J205" s="209" t="b">
        <v>0</v>
      </c>
      <c r="K205" s="204" t="b">
        <v>0</v>
      </c>
      <c r="L205" s="17" t="str">
        <f t="shared" si="4"/>
        <v/>
      </c>
      <c r="M205" s="10"/>
      <c r="N205" s="10"/>
      <c r="O205" s="10"/>
      <c r="P205" s="10"/>
      <c r="Q205" s="10"/>
    </row>
    <row r="206" spans="3:17" hidden="1" outlineLevel="1" x14ac:dyDescent="0.3">
      <c r="C206" s="199"/>
      <c r="D206" s="775" t="str">
        <f>IF(C206 = "", "",
IF(COUNTIF($C$188:C205, C206), "VALUE INCONSISTENCY",
IF(AND(COUNTIF('General Information'!$C$406:$C$505, C206),
       INDEX('General Information'!$D$406:$D$505, MATCH(C206, 'General Information'!$C$406:$C$505, 0)) = ""),
   "VALUE INCONSISTENCY",
IFERROR(VLOOKUP(C206, ListOfSitesTable, 5, FALSE), "") &amp; " " &amp;
IFERROR(VLOOKUP(C206, ListOfSitesTable, 4, FALSE), "") &amp; " " &amp;
IFERROR(VLOOKUP(C206, ListOfSitesTable, 2, FALSE), ""))))</f>
        <v/>
      </c>
      <c r="E206" s="776"/>
      <c r="F206" s="777"/>
      <c r="G206" s="727"/>
      <c r="H206" s="728"/>
      <c r="I206" s="729"/>
      <c r="J206" s="209" t="b">
        <v>0</v>
      </c>
      <c r="K206" s="204" t="b">
        <v>0</v>
      </c>
      <c r="L206" s="17" t="str">
        <f t="shared" si="4"/>
        <v/>
      </c>
      <c r="M206" s="10"/>
      <c r="N206" s="10"/>
      <c r="O206" s="10"/>
      <c r="P206" s="10"/>
      <c r="Q206" s="10"/>
    </row>
    <row r="207" spans="3:17" hidden="1" outlineLevel="1" x14ac:dyDescent="0.3">
      <c r="C207" s="199"/>
      <c r="D207" s="775" t="str">
        <f>IF(C207 = "", "",
IF(COUNTIF($C$188:C206, C207), "VALUE INCONSISTENCY",
IF(AND(COUNTIF('General Information'!$C$406:$C$505, C207),
       INDEX('General Information'!$D$406:$D$505, MATCH(C207, 'General Information'!$C$406:$C$505, 0)) = ""),
   "VALUE INCONSISTENCY",
IFERROR(VLOOKUP(C207, ListOfSitesTable, 5, FALSE), "") &amp; " " &amp;
IFERROR(VLOOKUP(C207, ListOfSitesTable, 4, FALSE), "") &amp; " " &amp;
IFERROR(VLOOKUP(C207, ListOfSitesTable, 2, FALSE), ""))))</f>
        <v/>
      </c>
      <c r="E207" s="776"/>
      <c r="F207" s="777"/>
      <c r="G207" s="727"/>
      <c r="H207" s="728"/>
      <c r="I207" s="729"/>
      <c r="J207" s="209" t="b">
        <v>0</v>
      </c>
      <c r="K207" s="204" t="b">
        <v>0</v>
      </c>
      <c r="L207" s="17" t="str">
        <f t="shared" si="4"/>
        <v/>
      </c>
      <c r="M207" s="10"/>
      <c r="N207" s="10"/>
      <c r="O207" s="10"/>
      <c r="P207" s="10"/>
      <c r="Q207" s="10"/>
    </row>
    <row r="208" spans="3:17" hidden="1" outlineLevel="1" x14ac:dyDescent="0.3">
      <c r="C208" s="199"/>
      <c r="D208" s="775" t="str">
        <f>IF(C208 = "", "",
IF(COUNTIF($C$188:C207, C208), "VALUE INCONSISTENCY",
IF(AND(COUNTIF('General Information'!$C$406:$C$505, C208),
       INDEX('General Information'!$D$406:$D$505, MATCH(C208, 'General Information'!$C$406:$C$505, 0)) = ""),
   "VALUE INCONSISTENCY",
IFERROR(VLOOKUP(C208, ListOfSitesTable, 5, FALSE), "") &amp; " " &amp;
IFERROR(VLOOKUP(C208, ListOfSitesTable, 4, FALSE), "") &amp; " " &amp;
IFERROR(VLOOKUP(C208, ListOfSitesTable, 2, FALSE), ""))))</f>
        <v/>
      </c>
      <c r="E208" s="776"/>
      <c r="F208" s="777"/>
      <c r="G208" s="727"/>
      <c r="H208" s="728"/>
      <c r="I208" s="729"/>
      <c r="J208" s="209" t="b">
        <v>0</v>
      </c>
      <c r="K208" s="204" t="b">
        <v>0</v>
      </c>
      <c r="L208" s="17" t="str">
        <f t="shared" si="4"/>
        <v/>
      </c>
      <c r="M208" s="10"/>
      <c r="N208" s="10"/>
      <c r="O208" s="10"/>
      <c r="P208" s="10"/>
      <c r="Q208" s="10"/>
    </row>
    <row r="209" spans="3:17" hidden="1" outlineLevel="1" x14ac:dyDescent="0.3">
      <c r="C209" s="199"/>
      <c r="D209" s="775" t="str">
        <f>IF(C209 = "", "",
IF(COUNTIF($C$188:C208, C209), "VALUE INCONSISTENCY",
IF(AND(COUNTIF('General Information'!$C$406:$C$505, C209),
       INDEX('General Information'!$D$406:$D$505, MATCH(C209, 'General Information'!$C$406:$C$505, 0)) = ""),
   "VALUE INCONSISTENCY",
IFERROR(VLOOKUP(C209, ListOfSitesTable, 5, FALSE), "") &amp; " " &amp;
IFERROR(VLOOKUP(C209, ListOfSitesTable, 4, FALSE), "") &amp; " " &amp;
IFERROR(VLOOKUP(C209, ListOfSitesTable, 2, FALSE), ""))))</f>
        <v/>
      </c>
      <c r="E209" s="776"/>
      <c r="F209" s="777"/>
      <c r="G209" s="727"/>
      <c r="H209" s="728"/>
      <c r="I209" s="729"/>
      <c r="J209" s="209" t="b">
        <v>0</v>
      </c>
      <c r="K209" s="204" t="b">
        <v>0</v>
      </c>
      <c r="L209" s="17" t="str">
        <f t="shared" si="4"/>
        <v/>
      </c>
      <c r="M209" s="10"/>
      <c r="N209" s="10"/>
      <c r="O209" s="10"/>
      <c r="P209" s="10"/>
      <c r="Q209" s="10"/>
    </row>
    <row r="210" spans="3:17" hidden="1" outlineLevel="1" x14ac:dyDescent="0.3">
      <c r="C210" s="199"/>
      <c r="D210" s="775" t="str">
        <f>IF(C210 = "", "",
IF(COUNTIF($C$188:C209, C210), "VALUE INCONSISTENCY",
IF(AND(COUNTIF('General Information'!$C$406:$C$505, C210),
       INDEX('General Information'!$D$406:$D$505, MATCH(C210, 'General Information'!$C$406:$C$505, 0)) = ""),
   "VALUE INCONSISTENCY",
IFERROR(VLOOKUP(C210, ListOfSitesTable, 5, FALSE), "") &amp; " " &amp;
IFERROR(VLOOKUP(C210, ListOfSitesTable, 4, FALSE), "") &amp; " " &amp;
IFERROR(VLOOKUP(C210, ListOfSitesTable, 2, FALSE), ""))))</f>
        <v/>
      </c>
      <c r="E210" s="776"/>
      <c r="F210" s="777"/>
      <c r="G210" s="727"/>
      <c r="H210" s="728"/>
      <c r="I210" s="729"/>
      <c r="J210" s="209" t="b">
        <v>0</v>
      </c>
      <c r="K210" s="204" t="b">
        <v>0</v>
      </c>
      <c r="L210" s="17" t="str">
        <f t="shared" si="4"/>
        <v/>
      </c>
      <c r="M210" s="10"/>
      <c r="N210" s="10"/>
      <c r="O210" s="10"/>
      <c r="P210" s="10"/>
      <c r="Q210" s="10"/>
    </row>
    <row r="211" spans="3:17" hidden="1" outlineLevel="1" x14ac:dyDescent="0.3">
      <c r="C211" s="199"/>
      <c r="D211" s="775" t="str">
        <f>IF(C211 = "", "",
IF(COUNTIF($C$188:C210, C211), "VALUE INCONSISTENCY",
IF(AND(COUNTIF('General Information'!$C$406:$C$505, C211),
       INDEX('General Information'!$D$406:$D$505, MATCH(C211, 'General Information'!$C$406:$C$505, 0)) = ""),
   "VALUE INCONSISTENCY",
IFERROR(VLOOKUP(C211, ListOfSitesTable, 5, FALSE), "") &amp; " " &amp;
IFERROR(VLOOKUP(C211, ListOfSitesTable, 4, FALSE), "") &amp; " " &amp;
IFERROR(VLOOKUP(C211, ListOfSitesTable, 2, FALSE), ""))))</f>
        <v/>
      </c>
      <c r="E211" s="776"/>
      <c r="F211" s="777"/>
      <c r="G211" s="727"/>
      <c r="H211" s="728"/>
      <c r="I211" s="729"/>
      <c r="J211" s="209" t="b">
        <v>0</v>
      </c>
      <c r="K211" s="204" t="b">
        <v>0</v>
      </c>
      <c r="L211" s="17" t="str">
        <f t="shared" si="4"/>
        <v/>
      </c>
      <c r="M211" s="10"/>
      <c r="N211" s="10"/>
      <c r="O211" s="10"/>
      <c r="P211" s="10"/>
      <c r="Q211" s="10"/>
    </row>
    <row r="212" spans="3:17" hidden="1" outlineLevel="1" x14ac:dyDescent="0.3">
      <c r="C212" s="199"/>
      <c r="D212" s="775" t="str">
        <f>IF(C212 = "", "",
IF(COUNTIF($C$188:C211, C212), "VALUE INCONSISTENCY",
IF(AND(COUNTIF('General Information'!$C$406:$C$505, C212),
       INDEX('General Information'!$D$406:$D$505, MATCH(C212, 'General Information'!$C$406:$C$505, 0)) = ""),
   "VALUE INCONSISTENCY",
IFERROR(VLOOKUP(C212, ListOfSitesTable, 5, FALSE), "") &amp; " " &amp;
IFERROR(VLOOKUP(C212, ListOfSitesTable, 4, FALSE), "") &amp; " " &amp;
IFERROR(VLOOKUP(C212, ListOfSitesTable, 2, FALSE), ""))))</f>
        <v/>
      </c>
      <c r="E212" s="776"/>
      <c r="F212" s="777"/>
      <c r="G212" s="727"/>
      <c r="H212" s="728"/>
      <c r="I212" s="729"/>
      <c r="J212" s="209" t="b">
        <v>0</v>
      </c>
      <c r="K212" s="204" t="b">
        <v>0</v>
      </c>
      <c r="L212" s="17" t="str">
        <f t="shared" si="4"/>
        <v/>
      </c>
      <c r="M212" s="10"/>
      <c r="N212" s="10"/>
      <c r="O212" s="10"/>
      <c r="P212" s="10"/>
      <c r="Q212" s="10"/>
    </row>
    <row r="213" spans="3:17" hidden="1" outlineLevel="1" x14ac:dyDescent="0.3">
      <c r="C213" s="199"/>
      <c r="D213" s="775" t="str">
        <f>IF(C213 = "", "",
IF(COUNTIF($C$188:C212, C213), "VALUE INCONSISTENCY",
IF(AND(COUNTIF('General Information'!$C$406:$C$505, C213),
       INDEX('General Information'!$D$406:$D$505, MATCH(C213, 'General Information'!$C$406:$C$505, 0)) = ""),
   "VALUE INCONSISTENCY",
IFERROR(VLOOKUP(C213, ListOfSitesTable, 5, FALSE), "") &amp; " " &amp;
IFERROR(VLOOKUP(C213, ListOfSitesTable, 4, FALSE), "") &amp; " " &amp;
IFERROR(VLOOKUP(C213, ListOfSitesTable, 2, FALSE), ""))))</f>
        <v/>
      </c>
      <c r="E213" s="776"/>
      <c r="F213" s="777"/>
      <c r="G213" s="727"/>
      <c r="H213" s="728"/>
      <c r="I213" s="729"/>
      <c r="J213" s="209" t="b">
        <v>0</v>
      </c>
      <c r="K213" s="204" t="b">
        <v>0</v>
      </c>
      <c r="L213" s="17" t="str">
        <f t="shared" si="4"/>
        <v/>
      </c>
      <c r="M213" s="10"/>
      <c r="N213" s="10"/>
      <c r="O213" s="10"/>
      <c r="P213" s="10"/>
      <c r="Q213" s="10"/>
    </row>
    <row r="214" spans="3:17" hidden="1" outlineLevel="1" x14ac:dyDescent="0.3">
      <c r="C214" s="199"/>
      <c r="D214" s="775" t="str">
        <f>IF(C214 = "", "",
IF(COUNTIF($C$188:C213, C214), "VALUE INCONSISTENCY",
IF(AND(COUNTIF('General Information'!$C$406:$C$505, C214),
       INDEX('General Information'!$D$406:$D$505, MATCH(C214, 'General Information'!$C$406:$C$505, 0)) = ""),
   "VALUE INCONSISTENCY",
IFERROR(VLOOKUP(C214, ListOfSitesTable, 5, FALSE), "") &amp; " " &amp;
IFERROR(VLOOKUP(C214, ListOfSitesTable, 4, FALSE), "") &amp; " " &amp;
IFERROR(VLOOKUP(C214, ListOfSitesTable, 2, FALSE), ""))))</f>
        <v/>
      </c>
      <c r="E214" s="776"/>
      <c r="F214" s="777"/>
      <c r="G214" s="727"/>
      <c r="H214" s="728"/>
      <c r="I214" s="729"/>
      <c r="J214" s="209" t="b">
        <v>0</v>
      </c>
      <c r="K214" s="204" t="b">
        <v>0</v>
      </c>
      <c r="L214" s="17" t="str">
        <f t="shared" si="4"/>
        <v/>
      </c>
      <c r="M214" s="10"/>
      <c r="N214" s="10"/>
      <c r="O214" s="10"/>
      <c r="P214" s="10"/>
      <c r="Q214" s="10"/>
    </row>
    <row r="215" spans="3:17" hidden="1" outlineLevel="1" x14ac:dyDescent="0.3">
      <c r="C215" s="199"/>
      <c r="D215" s="775" t="str">
        <f>IF(C215 = "", "",
IF(COUNTIF($C$188:C214, C215), "VALUE INCONSISTENCY",
IF(AND(COUNTIF('General Information'!$C$406:$C$505, C215),
       INDEX('General Information'!$D$406:$D$505, MATCH(C215, 'General Information'!$C$406:$C$505, 0)) = ""),
   "VALUE INCONSISTENCY",
IFERROR(VLOOKUP(C215, ListOfSitesTable, 5, FALSE), "") &amp; " " &amp;
IFERROR(VLOOKUP(C215, ListOfSitesTable, 4, FALSE), "") &amp; " " &amp;
IFERROR(VLOOKUP(C215, ListOfSitesTable, 2, FALSE), ""))))</f>
        <v/>
      </c>
      <c r="E215" s="776"/>
      <c r="F215" s="777"/>
      <c r="G215" s="727"/>
      <c r="H215" s="728"/>
      <c r="I215" s="729"/>
      <c r="J215" s="209" t="b">
        <v>0</v>
      </c>
      <c r="K215" s="204" t="b">
        <v>0</v>
      </c>
      <c r="L215" s="17" t="str">
        <f t="shared" si="4"/>
        <v/>
      </c>
      <c r="M215" s="10"/>
      <c r="N215" s="10"/>
      <c r="O215" s="10"/>
      <c r="P215" s="10"/>
      <c r="Q215" s="10"/>
    </row>
    <row r="216" spans="3:17" hidden="1" outlineLevel="1" x14ac:dyDescent="0.3">
      <c r="C216" s="199"/>
      <c r="D216" s="775" t="str">
        <f>IF(C216 = "", "",
IF(COUNTIF($C$188:C215, C216), "VALUE INCONSISTENCY",
IF(AND(COUNTIF('General Information'!$C$406:$C$505, C216),
       INDEX('General Information'!$D$406:$D$505, MATCH(C216, 'General Information'!$C$406:$C$505, 0)) = ""),
   "VALUE INCONSISTENCY",
IFERROR(VLOOKUP(C216, ListOfSitesTable, 5, FALSE), "") &amp; " " &amp;
IFERROR(VLOOKUP(C216, ListOfSitesTable, 4, FALSE), "") &amp; " " &amp;
IFERROR(VLOOKUP(C216, ListOfSitesTable, 2, FALSE), ""))))</f>
        <v/>
      </c>
      <c r="E216" s="776"/>
      <c r="F216" s="777"/>
      <c r="G216" s="727"/>
      <c r="H216" s="728"/>
      <c r="I216" s="729"/>
      <c r="J216" s="209" t="b">
        <v>0</v>
      </c>
      <c r="K216" s="204" t="b">
        <v>0</v>
      </c>
      <c r="L216" s="17" t="str">
        <f t="shared" si="4"/>
        <v/>
      </c>
      <c r="M216" s="10"/>
      <c r="N216" s="10"/>
      <c r="O216" s="10"/>
      <c r="P216" s="10"/>
      <c r="Q216" s="10"/>
    </row>
    <row r="217" spans="3:17" hidden="1" outlineLevel="1" x14ac:dyDescent="0.3">
      <c r="C217" s="199"/>
      <c r="D217" s="775" t="str">
        <f>IF(C217 = "", "",
IF(COUNTIF($C$188:C216, C217), "VALUE INCONSISTENCY",
IF(AND(COUNTIF('General Information'!$C$406:$C$505, C217),
       INDEX('General Information'!$D$406:$D$505, MATCH(C217, 'General Information'!$C$406:$C$505, 0)) = ""),
   "VALUE INCONSISTENCY",
IFERROR(VLOOKUP(C217, ListOfSitesTable, 5, FALSE), "") &amp; " " &amp;
IFERROR(VLOOKUP(C217, ListOfSitesTable, 4, FALSE), "") &amp; " " &amp;
IFERROR(VLOOKUP(C217, ListOfSitesTable, 2, FALSE), ""))))</f>
        <v/>
      </c>
      <c r="E217" s="776"/>
      <c r="F217" s="777"/>
      <c r="G217" s="727"/>
      <c r="H217" s="728"/>
      <c r="I217" s="729"/>
      <c r="J217" s="209" t="b">
        <v>0</v>
      </c>
      <c r="K217" s="204" t="b">
        <v>0</v>
      </c>
      <c r="L217" s="17" t="str">
        <f t="shared" si="4"/>
        <v/>
      </c>
      <c r="M217" s="10"/>
      <c r="N217" s="10"/>
      <c r="O217" s="10"/>
      <c r="P217" s="10"/>
      <c r="Q217" s="10"/>
    </row>
    <row r="218" spans="3:17" hidden="1" outlineLevel="1" x14ac:dyDescent="0.3">
      <c r="C218" s="199"/>
      <c r="D218" s="775" t="str">
        <f>IF(C218 = "", "",
IF(COUNTIF($C$188:C217, C218), "VALUE INCONSISTENCY",
IF(AND(COUNTIF('General Information'!$C$406:$C$505, C218),
       INDEX('General Information'!$D$406:$D$505, MATCH(C218, 'General Information'!$C$406:$C$505, 0)) = ""),
   "VALUE INCONSISTENCY",
IFERROR(VLOOKUP(C218, ListOfSitesTable, 5, FALSE), "") &amp; " " &amp;
IFERROR(VLOOKUP(C218, ListOfSitesTable, 4, FALSE), "") &amp; " " &amp;
IFERROR(VLOOKUP(C218, ListOfSitesTable, 2, FALSE), ""))))</f>
        <v/>
      </c>
      <c r="E218" s="776"/>
      <c r="F218" s="777"/>
      <c r="G218" s="727"/>
      <c r="H218" s="728"/>
      <c r="I218" s="729"/>
      <c r="J218" s="209" t="b">
        <v>0</v>
      </c>
      <c r="K218" s="204" t="b">
        <v>0</v>
      </c>
      <c r="L218" s="17" t="str">
        <f t="shared" si="4"/>
        <v/>
      </c>
      <c r="M218" s="10"/>
      <c r="N218" s="10"/>
      <c r="O218" s="10"/>
      <c r="P218" s="10"/>
      <c r="Q218" s="10"/>
    </row>
    <row r="219" spans="3:17" hidden="1" outlineLevel="1" x14ac:dyDescent="0.3">
      <c r="C219" s="199"/>
      <c r="D219" s="775" t="str">
        <f>IF(C219 = "", "",
IF(COUNTIF($C$188:C218, C219), "VALUE INCONSISTENCY",
IF(AND(COUNTIF('General Information'!$C$406:$C$505, C219),
       INDEX('General Information'!$D$406:$D$505, MATCH(C219, 'General Information'!$C$406:$C$505, 0)) = ""),
   "VALUE INCONSISTENCY",
IFERROR(VLOOKUP(C219, ListOfSitesTable, 5, FALSE), "") &amp; " " &amp;
IFERROR(VLOOKUP(C219, ListOfSitesTable, 4, FALSE), "") &amp; " " &amp;
IFERROR(VLOOKUP(C219, ListOfSitesTable, 2, FALSE), ""))))</f>
        <v/>
      </c>
      <c r="E219" s="776"/>
      <c r="F219" s="777"/>
      <c r="G219" s="727"/>
      <c r="H219" s="728"/>
      <c r="I219" s="729"/>
      <c r="J219" s="209" t="b">
        <v>0</v>
      </c>
      <c r="K219" s="204" t="b">
        <v>0</v>
      </c>
      <c r="L219" s="17" t="str">
        <f t="shared" si="4"/>
        <v/>
      </c>
      <c r="M219" s="10"/>
      <c r="N219" s="10"/>
      <c r="O219" s="10"/>
      <c r="P219" s="10"/>
      <c r="Q219" s="10"/>
    </row>
    <row r="220" spans="3:17" hidden="1" outlineLevel="1" x14ac:dyDescent="0.3">
      <c r="C220" s="199"/>
      <c r="D220" s="775" t="str">
        <f>IF(C220 = "", "",
IF(COUNTIF($C$188:C219, C220), "VALUE INCONSISTENCY",
IF(AND(COUNTIF('General Information'!$C$406:$C$505, C220),
       INDEX('General Information'!$D$406:$D$505, MATCH(C220, 'General Information'!$C$406:$C$505, 0)) = ""),
   "VALUE INCONSISTENCY",
IFERROR(VLOOKUP(C220, ListOfSitesTable, 5, FALSE), "") &amp; " " &amp;
IFERROR(VLOOKUP(C220, ListOfSitesTable, 4, FALSE), "") &amp; " " &amp;
IFERROR(VLOOKUP(C220, ListOfSitesTable, 2, FALSE), ""))))</f>
        <v/>
      </c>
      <c r="E220" s="776"/>
      <c r="F220" s="777"/>
      <c r="G220" s="727"/>
      <c r="H220" s="728"/>
      <c r="I220" s="729"/>
      <c r="J220" s="209" t="b">
        <v>0</v>
      </c>
      <c r="K220" s="204" t="b">
        <v>0</v>
      </c>
      <c r="L220" s="17" t="str">
        <f t="shared" si="4"/>
        <v/>
      </c>
      <c r="M220" s="10"/>
      <c r="N220" s="10"/>
      <c r="O220" s="10"/>
      <c r="P220" s="10"/>
      <c r="Q220" s="10"/>
    </row>
    <row r="221" spans="3:17" hidden="1" outlineLevel="1" x14ac:dyDescent="0.3">
      <c r="C221" s="199"/>
      <c r="D221" s="775" t="str">
        <f>IF(C221 = "", "",
IF(COUNTIF($C$188:C220, C221), "VALUE INCONSISTENCY",
IF(AND(COUNTIF('General Information'!$C$406:$C$505, C221),
       INDEX('General Information'!$D$406:$D$505, MATCH(C221, 'General Information'!$C$406:$C$505, 0)) = ""),
   "VALUE INCONSISTENCY",
IFERROR(VLOOKUP(C221, ListOfSitesTable, 5, FALSE), "") &amp; " " &amp;
IFERROR(VLOOKUP(C221, ListOfSitesTable, 4, FALSE), "") &amp; " " &amp;
IFERROR(VLOOKUP(C221, ListOfSitesTable, 2, FALSE), ""))))</f>
        <v/>
      </c>
      <c r="E221" s="776"/>
      <c r="F221" s="777"/>
      <c r="G221" s="727"/>
      <c r="H221" s="728"/>
      <c r="I221" s="729"/>
      <c r="J221" s="209" t="b">
        <v>0</v>
      </c>
      <c r="K221" s="204" t="b">
        <v>0</v>
      </c>
      <c r="L221" s="17" t="str">
        <f t="shared" si="4"/>
        <v/>
      </c>
      <c r="M221" s="10"/>
      <c r="N221" s="10"/>
      <c r="O221" s="10"/>
      <c r="P221" s="10"/>
      <c r="Q221" s="10"/>
    </row>
    <row r="222" spans="3:17" hidden="1" outlineLevel="1" x14ac:dyDescent="0.3">
      <c r="C222" s="199"/>
      <c r="D222" s="775" t="str">
        <f>IF(C222 = "", "",
IF(COUNTIF($C$188:C221, C222), "VALUE INCONSISTENCY",
IF(AND(COUNTIF('General Information'!$C$406:$C$505, C222),
       INDEX('General Information'!$D$406:$D$505, MATCH(C222, 'General Information'!$C$406:$C$505, 0)) = ""),
   "VALUE INCONSISTENCY",
IFERROR(VLOOKUP(C222, ListOfSitesTable, 5, FALSE), "") &amp; " " &amp;
IFERROR(VLOOKUP(C222, ListOfSitesTable, 4, FALSE), "") &amp; " " &amp;
IFERROR(VLOOKUP(C222, ListOfSitesTable, 2, FALSE), ""))))</f>
        <v/>
      </c>
      <c r="E222" s="776"/>
      <c r="F222" s="777"/>
      <c r="G222" s="727"/>
      <c r="H222" s="728"/>
      <c r="I222" s="729"/>
      <c r="J222" s="209" t="b">
        <v>0</v>
      </c>
      <c r="K222" s="204" t="b">
        <v>0</v>
      </c>
      <c r="L222" s="17" t="str">
        <f t="shared" si="4"/>
        <v/>
      </c>
      <c r="M222" s="10"/>
      <c r="N222" s="10"/>
      <c r="O222" s="10"/>
      <c r="P222" s="10"/>
      <c r="Q222" s="10"/>
    </row>
    <row r="223" spans="3:17" hidden="1" outlineLevel="1" x14ac:dyDescent="0.3">
      <c r="C223" s="199"/>
      <c r="D223" s="775" t="str">
        <f>IF(C223 = "", "",
IF(COUNTIF($C$188:C222, C223), "VALUE INCONSISTENCY",
IF(AND(COUNTIF('General Information'!$C$406:$C$505, C223),
       INDEX('General Information'!$D$406:$D$505, MATCH(C223, 'General Information'!$C$406:$C$505, 0)) = ""),
   "VALUE INCONSISTENCY",
IFERROR(VLOOKUP(C223, ListOfSitesTable, 5, FALSE), "") &amp; " " &amp;
IFERROR(VLOOKUP(C223, ListOfSitesTable, 4, FALSE), "") &amp; " " &amp;
IFERROR(VLOOKUP(C223, ListOfSitesTable, 2, FALSE), ""))))</f>
        <v/>
      </c>
      <c r="E223" s="776"/>
      <c r="F223" s="777"/>
      <c r="G223" s="727"/>
      <c r="H223" s="728"/>
      <c r="I223" s="729"/>
      <c r="J223" s="209" t="b">
        <v>0</v>
      </c>
      <c r="K223" s="204" t="b">
        <v>0</v>
      </c>
      <c r="L223" s="17" t="str">
        <f t="shared" si="4"/>
        <v/>
      </c>
      <c r="M223" s="10"/>
      <c r="N223" s="10"/>
      <c r="O223" s="10"/>
      <c r="P223" s="10"/>
      <c r="Q223" s="10"/>
    </row>
    <row r="224" spans="3:17" hidden="1" outlineLevel="1" x14ac:dyDescent="0.3">
      <c r="C224" s="199"/>
      <c r="D224" s="775" t="str">
        <f>IF(C224 = "", "",
IF(COUNTIF($C$188:C223, C224), "VALUE INCONSISTENCY",
IF(AND(COUNTIF('General Information'!$C$406:$C$505, C224),
       INDEX('General Information'!$D$406:$D$505, MATCH(C224, 'General Information'!$C$406:$C$505, 0)) = ""),
   "VALUE INCONSISTENCY",
IFERROR(VLOOKUP(C224, ListOfSitesTable, 5, FALSE), "") &amp; " " &amp;
IFERROR(VLOOKUP(C224, ListOfSitesTable, 4, FALSE), "") &amp; " " &amp;
IFERROR(VLOOKUP(C224, ListOfSitesTable, 2, FALSE), ""))))</f>
        <v/>
      </c>
      <c r="E224" s="776"/>
      <c r="F224" s="777"/>
      <c r="G224" s="727"/>
      <c r="H224" s="728"/>
      <c r="I224" s="729"/>
      <c r="J224" s="209" t="b">
        <v>0</v>
      </c>
      <c r="K224" s="204" t="b">
        <v>0</v>
      </c>
      <c r="L224" s="17" t="str">
        <f t="shared" si="4"/>
        <v/>
      </c>
      <c r="M224" s="10"/>
      <c r="N224" s="10"/>
      <c r="O224" s="10"/>
      <c r="P224" s="10"/>
      <c r="Q224" s="10"/>
    </row>
    <row r="225" spans="3:17" hidden="1" outlineLevel="1" x14ac:dyDescent="0.3">
      <c r="C225" s="199"/>
      <c r="D225" s="775" t="str">
        <f>IF(C225 = "", "",
IF(COUNTIF($C$188:C224, C225), "VALUE INCONSISTENCY",
IF(AND(COUNTIF('General Information'!$C$406:$C$505, C225),
       INDEX('General Information'!$D$406:$D$505, MATCH(C225, 'General Information'!$C$406:$C$505, 0)) = ""),
   "VALUE INCONSISTENCY",
IFERROR(VLOOKUP(C225, ListOfSitesTable, 5, FALSE), "") &amp; " " &amp;
IFERROR(VLOOKUP(C225, ListOfSitesTable, 4, FALSE), "") &amp; " " &amp;
IFERROR(VLOOKUP(C225, ListOfSitesTable, 2, FALSE), ""))))</f>
        <v/>
      </c>
      <c r="E225" s="776"/>
      <c r="F225" s="777"/>
      <c r="G225" s="727"/>
      <c r="H225" s="728"/>
      <c r="I225" s="729"/>
      <c r="J225" s="209" t="b">
        <v>0</v>
      </c>
      <c r="K225" s="204" t="b">
        <v>0</v>
      </c>
      <c r="L225" s="17" t="str">
        <f t="shared" si="4"/>
        <v/>
      </c>
      <c r="M225" s="10"/>
      <c r="N225" s="10"/>
      <c r="O225" s="10"/>
      <c r="P225" s="10"/>
      <c r="Q225" s="10"/>
    </row>
    <row r="226" spans="3:17" hidden="1" outlineLevel="1" x14ac:dyDescent="0.3">
      <c r="C226" s="199"/>
      <c r="D226" s="775" t="str">
        <f>IF(C226 = "", "",
IF(COUNTIF($C$188:C225, C226), "VALUE INCONSISTENCY",
IF(AND(COUNTIF('General Information'!$C$406:$C$505, C226),
       INDEX('General Information'!$D$406:$D$505, MATCH(C226, 'General Information'!$C$406:$C$505, 0)) = ""),
   "VALUE INCONSISTENCY",
IFERROR(VLOOKUP(C226, ListOfSitesTable, 5, FALSE), "") &amp; " " &amp;
IFERROR(VLOOKUP(C226, ListOfSitesTable, 4, FALSE), "") &amp; " " &amp;
IFERROR(VLOOKUP(C226, ListOfSitesTable, 2, FALSE), ""))))</f>
        <v/>
      </c>
      <c r="E226" s="776"/>
      <c r="F226" s="777"/>
      <c r="G226" s="727"/>
      <c r="H226" s="728"/>
      <c r="I226" s="729"/>
      <c r="J226" s="209" t="b">
        <v>0</v>
      </c>
      <c r="K226" s="204" t="b">
        <v>0</v>
      </c>
      <c r="L226" s="17" t="str">
        <f t="shared" si="4"/>
        <v/>
      </c>
      <c r="M226" s="10"/>
      <c r="N226" s="10"/>
      <c r="O226" s="10"/>
      <c r="P226" s="10"/>
      <c r="Q226" s="10"/>
    </row>
    <row r="227" spans="3:17" hidden="1" outlineLevel="1" x14ac:dyDescent="0.3">
      <c r="C227" s="199"/>
      <c r="D227" s="775" t="str">
        <f>IF(C227 = "", "",
IF(COUNTIF($C$188:C226, C227), "VALUE INCONSISTENCY",
IF(AND(COUNTIF('General Information'!$C$406:$C$505, C227),
       INDEX('General Information'!$D$406:$D$505, MATCH(C227, 'General Information'!$C$406:$C$505, 0)) = ""),
   "VALUE INCONSISTENCY",
IFERROR(VLOOKUP(C227, ListOfSitesTable, 5, FALSE), "") &amp; " " &amp;
IFERROR(VLOOKUP(C227, ListOfSitesTable, 4, FALSE), "") &amp; " " &amp;
IFERROR(VLOOKUP(C227, ListOfSitesTable, 2, FALSE), ""))))</f>
        <v/>
      </c>
      <c r="E227" s="776"/>
      <c r="F227" s="777"/>
      <c r="G227" s="727"/>
      <c r="H227" s="728"/>
      <c r="I227" s="729"/>
      <c r="J227" s="209" t="b">
        <v>0</v>
      </c>
      <c r="K227" s="204" t="b">
        <v>0</v>
      </c>
      <c r="L227" s="17" t="str">
        <f t="shared" si="4"/>
        <v/>
      </c>
      <c r="M227" s="10"/>
      <c r="N227" s="10"/>
      <c r="O227" s="10"/>
      <c r="P227" s="10"/>
      <c r="Q227" s="10"/>
    </row>
    <row r="228" spans="3:17" hidden="1" outlineLevel="1" x14ac:dyDescent="0.3">
      <c r="C228" s="199"/>
      <c r="D228" s="775" t="str">
        <f>IF(C228 = "", "",
IF(COUNTIF($C$188:C227, C228), "VALUE INCONSISTENCY",
IF(AND(COUNTIF('General Information'!$C$406:$C$505, C228),
       INDEX('General Information'!$D$406:$D$505, MATCH(C228, 'General Information'!$C$406:$C$505, 0)) = ""),
   "VALUE INCONSISTENCY",
IFERROR(VLOOKUP(C228, ListOfSitesTable, 5, FALSE), "") &amp; " " &amp;
IFERROR(VLOOKUP(C228, ListOfSitesTable, 4, FALSE), "") &amp; " " &amp;
IFERROR(VLOOKUP(C228, ListOfSitesTable, 2, FALSE), ""))))</f>
        <v/>
      </c>
      <c r="E228" s="776"/>
      <c r="F228" s="777"/>
      <c r="G228" s="727"/>
      <c r="H228" s="728"/>
      <c r="I228" s="729"/>
      <c r="J228" s="209" t="b">
        <v>0</v>
      </c>
      <c r="K228" s="204" t="b">
        <v>0</v>
      </c>
      <c r="L228" s="17" t="str">
        <f t="shared" si="4"/>
        <v/>
      </c>
      <c r="M228" s="10"/>
      <c r="N228" s="10"/>
      <c r="O228" s="10"/>
      <c r="P228" s="10"/>
      <c r="Q228" s="10"/>
    </row>
    <row r="229" spans="3:17" hidden="1" outlineLevel="1" x14ac:dyDescent="0.3">
      <c r="C229" s="199"/>
      <c r="D229" s="775" t="str">
        <f>IF(C229 = "", "",
IF(COUNTIF($C$188:C228, C229), "VALUE INCONSISTENCY",
IF(AND(COUNTIF('General Information'!$C$406:$C$505, C229),
       INDEX('General Information'!$D$406:$D$505, MATCH(C229, 'General Information'!$C$406:$C$505, 0)) = ""),
   "VALUE INCONSISTENCY",
IFERROR(VLOOKUP(C229, ListOfSitesTable, 5, FALSE), "") &amp; " " &amp;
IFERROR(VLOOKUP(C229, ListOfSitesTable, 4, FALSE), "") &amp; " " &amp;
IFERROR(VLOOKUP(C229, ListOfSitesTable, 2, FALSE), ""))))</f>
        <v/>
      </c>
      <c r="E229" s="776"/>
      <c r="F229" s="777"/>
      <c r="G229" s="727"/>
      <c r="H229" s="728"/>
      <c r="I229" s="729"/>
      <c r="J229" s="209" t="b">
        <v>0</v>
      </c>
      <c r="K229" s="204" t="b">
        <v>0</v>
      </c>
      <c r="L229" s="17" t="str">
        <f t="shared" si="4"/>
        <v/>
      </c>
      <c r="M229" s="10"/>
      <c r="N229" s="10"/>
      <c r="O229" s="10"/>
      <c r="P229" s="10"/>
      <c r="Q229" s="10"/>
    </row>
    <row r="230" spans="3:17" hidden="1" outlineLevel="1" x14ac:dyDescent="0.3">
      <c r="C230" s="199"/>
      <c r="D230" s="775" t="str">
        <f>IF(C230 = "", "",
IF(COUNTIF($C$188:C229, C230), "VALUE INCONSISTENCY",
IF(AND(COUNTIF('General Information'!$C$406:$C$505, C230),
       INDEX('General Information'!$D$406:$D$505, MATCH(C230, 'General Information'!$C$406:$C$505, 0)) = ""),
   "VALUE INCONSISTENCY",
IFERROR(VLOOKUP(C230, ListOfSitesTable, 5, FALSE), "") &amp; " " &amp;
IFERROR(VLOOKUP(C230, ListOfSitesTable, 4, FALSE), "") &amp; " " &amp;
IFERROR(VLOOKUP(C230, ListOfSitesTable, 2, FALSE), ""))))</f>
        <v/>
      </c>
      <c r="E230" s="776"/>
      <c r="F230" s="777"/>
      <c r="G230" s="727"/>
      <c r="H230" s="728"/>
      <c r="I230" s="729"/>
      <c r="J230" s="209" t="b">
        <v>0</v>
      </c>
      <c r="K230" s="204" t="b">
        <v>0</v>
      </c>
      <c r="L230" s="17" t="str">
        <f t="shared" si="4"/>
        <v/>
      </c>
      <c r="M230" s="10"/>
      <c r="N230" s="10"/>
      <c r="O230" s="10"/>
      <c r="P230" s="10"/>
      <c r="Q230" s="10"/>
    </row>
    <row r="231" spans="3:17" hidden="1" outlineLevel="1" x14ac:dyDescent="0.3">
      <c r="C231" s="199"/>
      <c r="D231" s="775" t="str">
        <f>IF(C231 = "", "",
IF(COUNTIF($C$188:C230, C231), "VALUE INCONSISTENCY",
IF(AND(COUNTIF('General Information'!$C$406:$C$505, C231),
       INDEX('General Information'!$D$406:$D$505, MATCH(C231, 'General Information'!$C$406:$C$505, 0)) = ""),
   "VALUE INCONSISTENCY",
IFERROR(VLOOKUP(C231, ListOfSitesTable, 5, FALSE), "") &amp; " " &amp;
IFERROR(VLOOKUP(C231, ListOfSitesTable, 4, FALSE), "") &amp; " " &amp;
IFERROR(VLOOKUP(C231, ListOfSitesTable, 2, FALSE), ""))))</f>
        <v/>
      </c>
      <c r="E231" s="776"/>
      <c r="F231" s="777"/>
      <c r="G231" s="727"/>
      <c r="H231" s="728"/>
      <c r="I231" s="729"/>
      <c r="J231" s="209" t="b">
        <v>0</v>
      </c>
      <c r="K231" s="204" t="b">
        <v>0</v>
      </c>
      <c r="L231" s="17" t="str">
        <f t="shared" si="4"/>
        <v/>
      </c>
      <c r="M231" s="10"/>
      <c r="N231" s="10"/>
      <c r="O231" s="10"/>
      <c r="P231" s="10"/>
      <c r="Q231" s="10"/>
    </row>
    <row r="232" spans="3:17" hidden="1" outlineLevel="1" x14ac:dyDescent="0.3">
      <c r="C232" s="199"/>
      <c r="D232" s="775" t="str">
        <f>IF(C232 = "", "",
IF(COUNTIF($C$188:C231, C232), "VALUE INCONSISTENCY",
IF(AND(COUNTIF('General Information'!$C$406:$C$505, C232),
       INDEX('General Information'!$D$406:$D$505, MATCH(C232, 'General Information'!$C$406:$C$505, 0)) = ""),
   "VALUE INCONSISTENCY",
IFERROR(VLOOKUP(C232, ListOfSitesTable, 5, FALSE), "") &amp; " " &amp;
IFERROR(VLOOKUP(C232, ListOfSitesTable, 4, FALSE), "") &amp; " " &amp;
IFERROR(VLOOKUP(C232, ListOfSitesTable, 2, FALSE), ""))))</f>
        <v/>
      </c>
      <c r="E232" s="776"/>
      <c r="F232" s="777"/>
      <c r="G232" s="727"/>
      <c r="H232" s="728"/>
      <c r="I232" s="729"/>
      <c r="J232" s="209" t="b">
        <v>0</v>
      </c>
      <c r="K232" s="204" t="b">
        <v>0</v>
      </c>
      <c r="L232" s="17" t="str">
        <f t="shared" si="4"/>
        <v/>
      </c>
      <c r="M232" s="10"/>
      <c r="N232" s="10"/>
      <c r="O232" s="10"/>
      <c r="P232" s="10"/>
      <c r="Q232" s="10"/>
    </row>
    <row r="233" spans="3:17" hidden="1" outlineLevel="1" x14ac:dyDescent="0.3">
      <c r="C233" s="199"/>
      <c r="D233" s="775" t="str">
        <f>IF(C233 = "", "",
IF(COUNTIF($C$188:C232, C233), "VALUE INCONSISTENCY",
IF(AND(COUNTIF('General Information'!$C$406:$C$505, C233),
       INDEX('General Information'!$D$406:$D$505, MATCH(C233, 'General Information'!$C$406:$C$505, 0)) = ""),
   "VALUE INCONSISTENCY",
IFERROR(VLOOKUP(C233, ListOfSitesTable, 5, FALSE), "") &amp; " " &amp;
IFERROR(VLOOKUP(C233, ListOfSitesTable, 4, FALSE), "") &amp; " " &amp;
IFERROR(VLOOKUP(C233, ListOfSitesTable, 2, FALSE), ""))))</f>
        <v/>
      </c>
      <c r="E233" s="776"/>
      <c r="F233" s="777"/>
      <c r="G233" s="727"/>
      <c r="H233" s="728"/>
      <c r="I233" s="729"/>
      <c r="J233" s="209" t="b">
        <v>0</v>
      </c>
      <c r="K233" s="204" t="b">
        <v>0</v>
      </c>
      <c r="L233" s="17" t="str">
        <f t="shared" si="4"/>
        <v/>
      </c>
      <c r="M233" s="10"/>
      <c r="N233" s="10"/>
      <c r="O233" s="10"/>
      <c r="P233" s="10"/>
      <c r="Q233" s="10"/>
    </row>
    <row r="234" spans="3:17" hidden="1" outlineLevel="1" x14ac:dyDescent="0.3">
      <c r="C234" s="199"/>
      <c r="D234" s="775" t="str">
        <f>IF(C234 = "", "",
IF(COUNTIF($C$188:C233, C234), "VALUE INCONSISTENCY",
IF(AND(COUNTIF('General Information'!$C$406:$C$505, C234),
       INDEX('General Information'!$D$406:$D$505, MATCH(C234, 'General Information'!$C$406:$C$505, 0)) = ""),
   "VALUE INCONSISTENCY",
IFERROR(VLOOKUP(C234, ListOfSitesTable, 5, FALSE), "") &amp; " " &amp;
IFERROR(VLOOKUP(C234, ListOfSitesTable, 4, FALSE), "") &amp; " " &amp;
IFERROR(VLOOKUP(C234, ListOfSitesTable, 2, FALSE), ""))))</f>
        <v/>
      </c>
      <c r="E234" s="776"/>
      <c r="F234" s="777"/>
      <c r="G234" s="727"/>
      <c r="H234" s="728"/>
      <c r="I234" s="729"/>
      <c r="J234" s="209" t="b">
        <v>0</v>
      </c>
      <c r="K234" s="204" t="b">
        <v>0</v>
      </c>
      <c r="L234" s="17" t="str">
        <f t="shared" si="4"/>
        <v/>
      </c>
      <c r="M234" s="10"/>
      <c r="N234" s="10"/>
      <c r="O234" s="10"/>
      <c r="P234" s="10"/>
      <c r="Q234" s="10"/>
    </row>
    <row r="235" spans="3:17" hidden="1" outlineLevel="1" x14ac:dyDescent="0.3">
      <c r="C235" s="199"/>
      <c r="D235" s="775" t="str">
        <f>IF(C235 = "", "",
IF(COUNTIF($C$188:C234, C235), "VALUE INCONSISTENCY",
IF(AND(COUNTIF('General Information'!$C$406:$C$505, C235),
       INDEX('General Information'!$D$406:$D$505, MATCH(C235, 'General Information'!$C$406:$C$505, 0)) = ""),
   "VALUE INCONSISTENCY",
IFERROR(VLOOKUP(C235, ListOfSitesTable, 5, FALSE), "") &amp; " " &amp;
IFERROR(VLOOKUP(C235, ListOfSitesTable, 4, FALSE), "") &amp; " " &amp;
IFERROR(VLOOKUP(C235, ListOfSitesTable, 2, FALSE), ""))))</f>
        <v/>
      </c>
      <c r="E235" s="776"/>
      <c r="F235" s="777"/>
      <c r="G235" s="727"/>
      <c r="H235" s="728"/>
      <c r="I235" s="729"/>
      <c r="J235" s="209" t="b">
        <v>0</v>
      </c>
      <c r="K235" s="204" t="b">
        <v>0</v>
      </c>
      <c r="L235" s="17" t="str">
        <f t="shared" si="4"/>
        <v/>
      </c>
      <c r="M235" s="10"/>
      <c r="N235" s="10"/>
      <c r="O235" s="10"/>
      <c r="P235" s="10"/>
      <c r="Q235" s="10"/>
    </row>
    <row r="236" spans="3:17" hidden="1" outlineLevel="1" x14ac:dyDescent="0.3">
      <c r="C236" s="199"/>
      <c r="D236" s="775" t="str">
        <f>IF(C236 = "", "",
IF(COUNTIF($C$188:C235, C236), "VALUE INCONSISTENCY",
IF(AND(COUNTIF('General Information'!$C$406:$C$505, C236),
       INDEX('General Information'!$D$406:$D$505, MATCH(C236, 'General Information'!$C$406:$C$505, 0)) = ""),
   "VALUE INCONSISTENCY",
IFERROR(VLOOKUP(C236, ListOfSitesTable, 5, FALSE), "") &amp; " " &amp;
IFERROR(VLOOKUP(C236, ListOfSitesTable, 4, FALSE), "") &amp; " " &amp;
IFERROR(VLOOKUP(C236, ListOfSitesTable, 2, FALSE), ""))))</f>
        <v/>
      </c>
      <c r="E236" s="776"/>
      <c r="F236" s="777"/>
      <c r="G236" s="727"/>
      <c r="H236" s="728"/>
      <c r="I236" s="729"/>
      <c r="J236" s="209" t="b">
        <v>0</v>
      </c>
      <c r="K236" s="204" t="b">
        <v>0</v>
      </c>
      <c r="L236" s="17" t="str">
        <f t="shared" si="4"/>
        <v/>
      </c>
      <c r="M236" s="10"/>
      <c r="N236" s="10"/>
      <c r="O236" s="10"/>
      <c r="P236" s="10"/>
      <c r="Q236" s="10"/>
    </row>
    <row r="237" spans="3:17" hidden="1" outlineLevel="1" x14ac:dyDescent="0.3">
      <c r="C237" s="199"/>
      <c r="D237" s="775" t="str">
        <f>IF(C237 = "", "",
IF(COUNTIF($C$188:C236, C237), "VALUE INCONSISTENCY",
IF(AND(COUNTIF('General Information'!$C$406:$C$505, C237),
       INDEX('General Information'!$D$406:$D$505, MATCH(C237, 'General Information'!$C$406:$C$505, 0)) = ""),
   "VALUE INCONSISTENCY",
IFERROR(VLOOKUP(C237, ListOfSitesTable, 5, FALSE), "") &amp; " " &amp;
IFERROR(VLOOKUP(C237, ListOfSitesTable, 4, FALSE), "") &amp; " " &amp;
IFERROR(VLOOKUP(C237, ListOfSitesTable, 2, FALSE), ""))))</f>
        <v/>
      </c>
      <c r="E237" s="776"/>
      <c r="F237" s="777"/>
      <c r="G237" s="727"/>
      <c r="H237" s="728"/>
      <c r="I237" s="729"/>
      <c r="J237" s="209" t="b">
        <v>0</v>
      </c>
      <c r="K237" s="204" t="b">
        <v>0</v>
      </c>
      <c r="L237" s="17" t="str">
        <f t="shared" si="4"/>
        <v/>
      </c>
      <c r="M237" s="10"/>
      <c r="N237" s="10"/>
      <c r="O237" s="10"/>
      <c r="P237" s="10"/>
      <c r="Q237" s="10"/>
    </row>
    <row r="238" spans="3:17" hidden="1" outlineLevel="1" x14ac:dyDescent="0.3">
      <c r="C238" s="199"/>
      <c r="D238" s="775" t="str">
        <f>IF(C238 = "", "",
IF(COUNTIF($C$188:C237, C238), "VALUE INCONSISTENCY",
IF(AND(COUNTIF('General Information'!$C$406:$C$505, C238),
       INDEX('General Information'!$D$406:$D$505, MATCH(C238, 'General Information'!$C$406:$C$505, 0)) = ""),
   "VALUE INCONSISTENCY",
IFERROR(VLOOKUP(C238, ListOfSitesTable, 5, FALSE), "") &amp; " " &amp;
IFERROR(VLOOKUP(C238, ListOfSitesTable, 4, FALSE), "") &amp; " " &amp;
IFERROR(VLOOKUP(C238, ListOfSitesTable, 2, FALSE), ""))))</f>
        <v/>
      </c>
      <c r="E238" s="776"/>
      <c r="F238" s="777"/>
      <c r="G238" s="727"/>
      <c r="H238" s="728"/>
      <c r="I238" s="729"/>
      <c r="J238" s="209" t="b">
        <v>0</v>
      </c>
      <c r="K238" s="204" t="b">
        <v>0</v>
      </c>
      <c r="L238" s="17" t="str">
        <f t="shared" si="4"/>
        <v/>
      </c>
      <c r="M238" s="10"/>
      <c r="N238" s="10"/>
      <c r="O238" s="10"/>
      <c r="P238" s="10"/>
      <c r="Q238" s="10"/>
    </row>
    <row r="239" spans="3:17" hidden="1" outlineLevel="1" x14ac:dyDescent="0.3">
      <c r="C239" s="199"/>
      <c r="D239" s="775" t="str">
        <f>IF(C239 = "", "",
IF(COUNTIF($C$188:C238, C239), "VALUE INCONSISTENCY",
IF(AND(COUNTIF('General Information'!$C$406:$C$505, C239),
       INDEX('General Information'!$D$406:$D$505, MATCH(C239, 'General Information'!$C$406:$C$505, 0)) = ""),
   "VALUE INCONSISTENCY",
IFERROR(VLOOKUP(C239, ListOfSitesTable, 5, FALSE), "") &amp; " " &amp;
IFERROR(VLOOKUP(C239, ListOfSitesTable, 4, FALSE), "") &amp; " " &amp;
IFERROR(VLOOKUP(C239, ListOfSitesTable, 2, FALSE), ""))))</f>
        <v/>
      </c>
      <c r="E239" s="776"/>
      <c r="F239" s="777"/>
      <c r="G239" s="727"/>
      <c r="H239" s="728"/>
      <c r="I239" s="729"/>
      <c r="J239" s="209" t="b">
        <v>0</v>
      </c>
      <c r="K239" s="204" t="b">
        <v>0</v>
      </c>
      <c r="L239" s="17" t="str">
        <f t="shared" si="4"/>
        <v/>
      </c>
      <c r="M239" s="10"/>
      <c r="N239" s="10"/>
      <c r="O239" s="10"/>
      <c r="P239" s="10"/>
      <c r="Q239" s="10"/>
    </row>
    <row r="240" spans="3:17" hidden="1" outlineLevel="1" x14ac:dyDescent="0.3">
      <c r="C240" s="199"/>
      <c r="D240" s="775" t="str">
        <f>IF(C240 = "", "",
IF(COUNTIF($C$188:C239, C240), "VALUE INCONSISTENCY",
IF(AND(COUNTIF('General Information'!$C$406:$C$505, C240),
       INDEX('General Information'!$D$406:$D$505, MATCH(C240, 'General Information'!$C$406:$C$505, 0)) = ""),
   "VALUE INCONSISTENCY",
IFERROR(VLOOKUP(C240, ListOfSitesTable, 5, FALSE), "") &amp; " " &amp;
IFERROR(VLOOKUP(C240, ListOfSitesTable, 4, FALSE), "") &amp; " " &amp;
IFERROR(VLOOKUP(C240, ListOfSitesTable, 2, FALSE), ""))))</f>
        <v/>
      </c>
      <c r="E240" s="776"/>
      <c r="F240" s="777"/>
      <c r="G240" s="727"/>
      <c r="H240" s="728"/>
      <c r="I240" s="729"/>
      <c r="J240" s="209" t="b">
        <v>0</v>
      </c>
      <c r="K240" s="204" t="b">
        <v>0</v>
      </c>
      <c r="L240" s="17" t="str">
        <f t="shared" si="4"/>
        <v/>
      </c>
      <c r="M240" s="10"/>
      <c r="N240" s="10"/>
      <c r="O240" s="10"/>
      <c r="P240" s="10"/>
      <c r="Q240" s="10"/>
    </row>
    <row r="241" spans="3:17" hidden="1" outlineLevel="1" x14ac:dyDescent="0.3">
      <c r="C241" s="199"/>
      <c r="D241" s="775" t="str">
        <f>IF(C241 = "", "",
IF(COUNTIF($C$188:C240, C241), "VALUE INCONSISTENCY",
IF(AND(COUNTIF('General Information'!$C$406:$C$505, C241),
       INDEX('General Information'!$D$406:$D$505, MATCH(C241, 'General Information'!$C$406:$C$505, 0)) = ""),
   "VALUE INCONSISTENCY",
IFERROR(VLOOKUP(C241, ListOfSitesTable, 5, FALSE), "") &amp; " " &amp;
IFERROR(VLOOKUP(C241, ListOfSitesTable, 4, FALSE), "") &amp; " " &amp;
IFERROR(VLOOKUP(C241, ListOfSitesTable, 2, FALSE), ""))))</f>
        <v/>
      </c>
      <c r="E241" s="776"/>
      <c r="F241" s="777"/>
      <c r="G241" s="727"/>
      <c r="H241" s="728"/>
      <c r="I241" s="729"/>
      <c r="J241" s="209" t="b">
        <v>0</v>
      </c>
      <c r="K241" s="204" t="b">
        <v>0</v>
      </c>
      <c r="L241" s="17" t="str">
        <f t="shared" si="4"/>
        <v/>
      </c>
      <c r="M241" s="10"/>
      <c r="N241" s="10"/>
      <c r="O241" s="10"/>
      <c r="P241" s="10"/>
      <c r="Q241" s="10"/>
    </row>
    <row r="242" spans="3:17" hidden="1" outlineLevel="1" x14ac:dyDescent="0.3">
      <c r="C242" s="199"/>
      <c r="D242" s="775" t="str">
        <f>IF(C242 = "", "",
IF(COUNTIF($C$188:C241, C242), "VALUE INCONSISTENCY",
IF(AND(COUNTIF('General Information'!$C$406:$C$505, C242),
       INDEX('General Information'!$D$406:$D$505, MATCH(C242, 'General Information'!$C$406:$C$505, 0)) = ""),
   "VALUE INCONSISTENCY",
IFERROR(VLOOKUP(C242, ListOfSitesTable, 5, FALSE), "") &amp; " " &amp;
IFERROR(VLOOKUP(C242, ListOfSitesTable, 4, FALSE), "") &amp; " " &amp;
IFERROR(VLOOKUP(C242, ListOfSitesTable, 2, FALSE), ""))))</f>
        <v/>
      </c>
      <c r="E242" s="776"/>
      <c r="F242" s="777"/>
      <c r="G242" s="727"/>
      <c r="H242" s="728"/>
      <c r="I242" s="729"/>
      <c r="J242" s="209" t="b">
        <v>0</v>
      </c>
      <c r="K242" s="204" t="b">
        <v>0</v>
      </c>
      <c r="L242" s="17" t="str">
        <f t="shared" si="4"/>
        <v/>
      </c>
      <c r="M242" s="10"/>
      <c r="N242" s="10"/>
      <c r="O242" s="10"/>
      <c r="P242" s="10"/>
      <c r="Q242" s="10"/>
    </row>
    <row r="243" spans="3:17" hidden="1" outlineLevel="1" x14ac:dyDescent="0.3">
      <c r="C243" s="199"/>
      <c r="D243" s="775" t="str">
        <f>IF(C243 = "", "",
IF(COUNTIF($C$188:C242, C243), "VALUE INCONSISTENCY",
IF(AND(COUNTIF('General Information'!$C$406:$C$505, C243),
       INDEX('General Information'!$D$406:$D$505, MATCH(C243, 'General Information'!$C$406:$C$505, 0)) = ""),
   "VALUE INCONSISTENCY",
IFERROR(VLOOKUP(C243, ListOfSitesTable, 5, FALSE), "") &amp; " " &amp;
IFERROR(VLOOKUP(C243, ListOfSitesTable, 4, FALSE), "") &amp; " " &amp;
IFERROR(VLOOKUP(C243, ListOfSitesTable, 2, FALSE), ""))))</f>
        <v/>
      </c>
      <c r="E243" s="776"/>
      <c r="F243" s="777"/>
      <c r="G243" s="727"/>
      <c r="H243" s="728"/>
      <c r="I243" s="729"/>
      <c r="J243" s="209" t="b">
        <v>0</v>
      </c>
      <c r="K243" s="204" t="b">
        <v>0</v>
      </c>
      <c r="L243" s="17" t="str">
        <f t="shared" si="4"/>
        <v/>
      </c>
      <c r="M243" s="10"/>
      <c r="N243" s="10"/>
      <c r="O243" s="10"/>
      <c r="P243" s="10"/>
      <c r="Q243" s="10"/>
    </row>
    <row r="244" spans="3:17" hidden="1" outlineLevel="1" x14ac:dyDescent="0.3">
      <c r="C244" s="199"/>
      <c r="D244" s="775" t="str">
        <f>IF(C244 = "", "",
IF(COUNTIF($C$188:C243, C244), "VALUE INCONSISTENCY",
IF(AND(COUNTIF('General Information'!$C$406:$C$505, C244),
       INDEX('General Information'!$D$406:$D$505, MATCH(C244, 'General Information'!$C$406:$C$505, 0)) = ""),
   "VALUE INCONSISTENCY",
IFERROR(VLOOKUP(C244, ListOfSitesTable, 5, FALSE), "") &amp; " " &amp;
IFERROR(VLOOKUP(C244, ListOfSitesTable, 4, FALSE), "") &amp; " " &amp;
IFERROR(VLOOKUP(C244, ListOfSitesTable, 2, FALSE), ""))))</f>
        <v/>
      </c>
      <c r="E244" s="776"/>
      <c r="F244" s="777"/>
      <c r="G244" s="727"/>
      <c r="H244" s="728"/>
      <c r="I244" s="729"/>
      <c r="J244" s="209" t="b">
        <v>0</v>
      </c>
      <c r="K244" s="204" t="b">
        <v>0</v>
      </c>
      <c r="L244" s="17" t="str">
        <f t="shared" si="4"/>
        <v/>
      </c>
      <c r="M244" s="10"/>
      <c r="N244" s="10"/>
      <c r="O244" s="10"/>
      <c r="P244" s="10"/>
      <c r="Q244" s="10"/>
    </row>
    <row r="245" spans="3:17" hidden="1" outlineLevel="1" x14ac:dyDescent="0.3">
      <c r="C245" s="199"/>
      <c r="D245" s="775" t="str">
        <f>IF(C245 = "", "",
IF(COUNTIF($C$188:C244, C245), "VALUE INCONSISTENCY",
IF(AND(COUNTIF('General Information'!$C$406:$C$505, C245),
       INDEX('General Information'!$D$406:$D$505, MATCH(C245, 'General Information'!$C$406:$C$505, 0)) = ""),
   "VALUE INCONSISTENCY",
IFERROR(VLOOKUP(C245, ListOfSitesTable, 5, FALSE), "") &amp; " " &amp;
IFERROR(VLOOKUP(C245, ListOfSitesTable, 4, FALSE), "") &amp; " " &amp;
IFERROR(VLOOKUP(C245, ListOfSitesTable, 2, FALSE), ""))))</f>
        <v/>
      </c>
      <c r="E245" s="776"/>
      <c r="F245" s="777"/>
      <c r="G245" s="727"/>
      <c r="H245" s="728"/>
      <c r="I245" s="729"/>
      <c r="J245" s="209" t="b">
        <v>0</v>
      </c>
      <c r="K245" s="204" t="b">
        <v>0</v>
      </c>
      <c r="L245" s="17" t="str">
        <f t="shared" si="4"/>
        <v/>
      </c>
      <c r="M245" s="10"/>
      <c r="N245" s="10"/>
      <c r="O245" s="10"/>
      <c r="P245" s="10"/>
      <c r="Q245" s="10"/>
    </row>
    <row r="246" spans="3:17" hidden="1" outlineLevel="1" x14ac:dyDescent="0.3">
      <c r="C246" s="199"/>
      <c r="D246" s="775" t="str">
        <f>IF(C246 = "", "",
IF(COUNTIF($C$188:C245, C246), "VALUE INCONSISTENCY",
IF(AND(COUNTIF('General Information'!$C$406:$C$505, C246),
       INDEX('General Information'!$D$406:$D$505, MATCH(C246, 'General Information'!$C$406:$C$505, 0)) = ""),
   "VALUE INCONSISTENCY",
IFERROR(VLOOKUP(C246, ListOfSitesTable, 5, FALSE), "") &amp; " " &amp;
IFERROR(VLOOKUP(C246, ListOfSitesTable, 4, FALSE), "") &amp; " " &amp;
IFERROR(VLOOKUP(C246, ListOfSitesTable, 2, FALSE), ""))))</f>
        <v/>
      </c>
      <c r="E246" s="776"/>
      <c r="F246" s="777"/>
      <c r="G246" s="727"/>
      <c r="H246" s="728"/>
      <c r="I246" s="729"/>
      <c r="J246" s="209" t="b">
        <v>0</v>
      </c>
      <c r="K246" s="204" t="b">
        <v>0</v>
      </c>
      <c r="L246" s="17" t="str">
        <f t="shared" si="4"/>
        <v/>
      </c>
      <c r="M246" s="10"/>
      <c r="N246" s="10"/>
      <c r="O246" s="10"/>
      <c r="P246" s="10"/>
      <c r="Q246" s="10"/>
    </row>
    <row r="247" spans="3:17" hidden="1" outlineLevel="1" x14ac:dyDescent="0.3">
      <c r="C247" s="199"/>
      <c r="D247" s="775" t="str">
        <f>IF(C247 = "", "",
IF(COUNTIF($C$188:C246, C247), "VALUE INCONSISTENCY",
IF(AND(COUNTIF('General Information'!$C$406:$C$505, C247),
       INDEX('General Information'!$D$406:$D$505, MATCH(C247, 'General Information'!$C$406:$C$505, 0)) = ""),
   "VALUE INCONSISTENCY",
IFERROR(VLOOKUP(C247, ListOfSitesTable, 5, FALSE), "") &amp; " " &amp;
IFERROR(VLOOKUP(C247, ListOfSitesTable, 4, FALSE), "") &amp; " " &amp;
IFERROR(VLOOKUP(C247, ListOfSitesTable, 2, FALSE), ""))))</f>
        <v/>
      </c>
      <c r="E247" s="776"/>
      <c r="F247" s="777"/>
      <c r="G247" s="727"/>
      <c r="H247" s="728"/>
      <c r="I247" s="729"/>
      <c r="J247" s="209" t="b">
        <v>0</v>
      </c>
      <c r="K247" s="204" t="b">
        <v>0</v>
      </c>
      <c r="L247" s="17" t="str">
        <f t="shared" si="4"/>
        <v/>
      </c>
      <c r="M247" s="10"/>
      <c r="N247" s="10"/>
      <c r="O247" s="10"/>
      <c r="P247" s="10"/>
      <c r="Q247" s="10"/>
    </row>
    <row r="248" spans="3:17" hidden="1" outlineLevel="1" x14ac:dyDescent="0.3">
      <c r="C248" s="199"/>
      <c r="D248" s="775" t="str">
        <f>IF(C248 = "", "",
IF(COUNTIF($C$188:C247, C248), "VALUE INCONSISTENCY",
IF(AND(COUNTIF('General Information'!$C$406:$C$505, C248),
       INDEX('General Information'!$D$406:$D$505, MATCH(C248, 'General Information'!$C$406:$C$505, 0)) = ""),
   "VALUE INCONSISTENCY",
IFERROR(VLOOKUP(C248, ListOfSitesTable, 5, FALSE), "") &amp; " " &amp;
IFERROR(VLOOKUP(C248, ListOfSitesTable, 4, FALSE), "") &amp; " " &amp;
IFERROR(VLOOKUP(C248, ListOfSitesTable, 2, FALSE), ""))))</f>
        <v/>
      </c>
      <c r="E248" s="776"/>
      <c r="F248" s="777"/>
      <c r="G248" s="727"/>
      <c r="H248" s="728"/>
      <c r="I248" s="729"/>
      <c r="J248" s="209" t="b">
        <v>0</v>
      </c>
      <c r="K248" s="204" t="b">
        <v>0</v>
      </c>
      <c r="L248" s="17" t="str">
        <f t="shared" si="4"/>
        <v/>
      </c>
      <c r="M248" s="10"/>
      <c r="N248" s="10"/>
      <c r="O248" s="10"/>
      <c r="P248" s="10"/>
      <c r="Q248" s="10"/>
    </row>
    <row r="249" spans="3:17" hidden="1" outlineLevel="1" x14ac:dyDescent="0.3">
      <c r="C249" s="199"/>
      <c r="D249" s="775" t="str">
        <f>IF(C249 = "", "",
IF(COUNTIF($C$188:C248, C249), "VALUE INCONSISTENCY",
IF(AND(COUNTIF('General Information'!$C$406:$C$505, C249),
       INDEX('General Information'!$D$406:$D$505, MATCH(C249, 'General Information'!$C$406:$C$505, 0)) = ""),
   "VALUE INCONSISTENCY",
IFERROR(VLOOKUP(C249, ListOfSitesTable, 5, FALSE), "") &amp; " " &amp;
IFERROR(VLOOKUP(C249, ListOfSitesTable, 4, FALSE), "") &amp; " " &amp;
IFERROR(VLOOKUP(C249, ListOfSitesTable, 2, FALSE), ""))))</f>
        <v/>
      </c>
      <c r="E249" s="776"/>
      <c r="F249" s="777"/>
      <c r="G249" s="727"/>
      <c r="H249" s="728"/>
      <c r="I249" s="729"/>
      <c r="J249" s="209" t="b">
        <v>0</v>
      </c>
      <c r="K249" s="204" t="b">
        <v>0</v>
      </c>
      <c r="L249" s="17" t="str">
        <f t="shared" si="4"/>
        <v/>
      </c>
      <c r="M249" s="10"/>
      <c r="N249" s="10"/>
      <c r="O249" s="10"/>
      <c r="P249" s="10"/>
      <c r="Q249" s="10"/>
    </row>
    <row r="250" spans="3:17" hidden="1" outlineLevel="1" x14ac:dyDescent="0.3">
      <c r="C250" s="199"/>
      <c r="D250" s="775" t="str">
        <f>IF(C250 = "", "",
IF(COUNTIF($C$188:C249, C250), "VALUE INCONSISTENCY",
IF(AND(COUNTIF('General Information'!$C$406:$C$505, C250),
       INDEX('General Information'!$D$406:$D$505, MATCH(C250, 'General Information'!$C$406:$C$505, 0)) = ""),
   "VALUE INCONSISTENCY",
IFERROR(VLOOKUP(C250, ListOfSitesTable, 5, FALSE), "") &amp; " " &amp;
IFERROR(VLOOKUP(C250, ListOfSitesTable, 4, FALSE), "") &amp; " " &amp;
IFERROR(VLOOKUP(C250, ListOfSitesTable, 2, FALSE), ""))))</f>
        <v/>
      </c>
      <c r="E250" s="776"/>
      <c r="F250" s="777"/>
      <c r="G250" s="727"/>
      <c r="H250" s="728"/>
      <c r="I250" s="729"/>
      <c r="J250" s="209" t="b">
        <v>0</v>
      </c>
      <c r="K250" s="204" t="b">
        <v>0</v>
      </c>
      <c r="L250" s="17" t="str">
        <f t="shared" si="4"/>
        <v/>
      </c>
      <c r="M250" s="10"/>
      <c r="N250" s="10"/>
      <c r="O250" s="10"/>
      <c r="P250" s="10"/>
      <c r="Q250" s="10"/>
    </row>
    <row r="251" spans="3:17" hidden="1" outlineLevel="1" x14ac:dyDescent="0.3">
      <c r="C251" s="199"/>
      <c r="D251" s="775" t="str">
        <f>IF(C251 = "", "",
IF(COUNTIF($C$188:C250, C251), "VALUE INCONSISTENCY",
IF(AND(COUNTIF('General Information'!$C$406:$C$505, C251),
       INDEX('General Information'!$D$406:$D$505, MATCH(C251, 'General Information'!$C$406:$C$505, 0)) = ""),
   "VALUE INCONSISTENCY",
IFERROR(VLOOKUP(C251, ListOfSitesTable, 5, FALSE), "") &amp; " " &amp;
IFERROR(VLOOKUP(C251, ListOfSitesTable, 4, FALSE), "") &amp; " " &amp;
IFERROR(VLOOKUP(C251, ListOfSitesTable, 2, FALSE), ""))))</f>
        <v/>
      </c>
      <c r="E251" s="776"/>
      <c r="F251" s="777"/>
      <c r="G251" s="727"/>
      <c r="H251" s="728"/>
      <c r="I251" s="729"/>
      <c r="J251" s="209" t="b">
        <v>0</v>
      </c>
      <c r="K251" s="204" t="b">
        <v>0</v>
      </c>
      <c r="L251" s="17" t="str">
        <f t="shared" si="4"/>
        <v/>
      </c>
      <c r="M251" s="10"/>
      <c r="N251" s="10"/>
      <c r="O251" s="10"/>
      <c r="P251" s="10"/>
      <c r="Q251" s="10"/>
    </row>
    <row r="252" spans="3:17" hidden="1" outlineLevel="1" x14ac:dyDescent="0.3">
      <c r="C252" s="199"/>
      <c r="D252" s="775" t="str">
        <f>IF(C252 = "", "",
IF(COUNTIF($C$188:C251, C252), "VALUE INCONSISTENCY",
IF(AND(COUNTIF('General Information'!$C$406:$C$505, C252),
       INDEX('General Information'!$D$406:$D$505, MATCH(C252, 'General Information'!$C$406:$C$505, 0)) = ""),
   "VALUE INCONSISTENCY",
IFERROR(VLOOKUP(C252, ListOfSitesTable, 5, FALSE), "") &amp; " " &amp;
IFERROR(VLOOKUP(C252, ListOfSitesTable, 4, FALSE), "") &amp; " " &amp;
IFERROR(VLOOKUP(C252, ListOfSitesTable, 2, FALSE), ""))))</f>
        <v/>
      </c>
      <c r="E252" s="776"/>
      <c r="F252" s="777"/>
      <c r="G252" s="727"/>
      <c r="H252" s="728"/>
      <c r="I252" s="729"/>
      <c r="J252" s="209" t="b">
        <v>0</v>
      </c>
      <c r="K252" s="204" t="b">
        <v>0</v>
      </c>
      <c r="L252" s="17" t="str">
        <f t="shared" si="4"/>
        <v/>
      </c>
      <c r="M252" s="10"/>
      <c r="N252" s="10"/>
      <c r="O252" s="10"/>
      <c r="P252" s="10"/>
      <c r="Q252" s="10"/>
    </row>
    <row r="253" spans="3:17" hidden="1" outlineLevel="1" x14ac:dyDescent="0.3">
      <c r="C253" s="199"/>
      <c r="D253" s="775" t="str">
        <f>IF(C253 = "", "",
IF(COUNTIF($C$188:C252, C253), "VALUE INCONSISTENCY",
IF(AND(COUNTIF('General Information'!$C$406:$C$505, C253),
       INDEX('General Information'!$D$406:$D$505, MATCH(C253, 'General Information'!$C$406:$C$505, 0)) = ""),
   "VALUE INCONSISTENCY",
IFERROR(VLOOKUP(C253, ListOfSitesTable, 5, FALSE), "") &amp; " " &amp;
IFERROR(VLOOKUP(C253, ListOfSitesTable, 4, FALSE), "") &amp; " " &amp;
IFERROR(VLOOKUP(C253, ListOfSitesTable, 2, FALSE), ""))))</f>
        <v/>
      </c>
      <c r="E253" s="776"/>
      <c r="F253" s="777"/>
      <c r="G253" s="727"/>
      <c r="H253" s="728"/>
      <c r="I253" s="729"/>
      <c r="J253" s="209" t="b">
        <v>0</v>
      </c>
      <c r="K253" s="204" t="b">
        <v>0</v>
      </c>
      <c r="L253" s="17" t="str">
        <f t="shared" si="4"/>
        <v/>
      </c>
      <c r="M253" s="10"/>
      <c r="N253" s="10"/>
      <c r="O253" s="10"/>
      <c r="P253" s="10"/>
      <c r="Q253" s="10"/>
    </row>
    <row r="254" spans="3:17" hidden="1" outlineLevel="1" x14ac:dyDescent="0.3">
      <c r="C254" s="199"/>
      <c r="D254" s="775" t="str">
        <f>IF(C254 = "", "",
IF(COUNTIF($C$188:C253, C254), "VALUE INCONSISTENCY",
IF(AND(COUNTIF('General Information'!$C$406:$C$505, C254),
       INDEX('General Information'!$D$406:$D$505, MATCH(C254, 'General Information'!$C$406:$C$505, 0)) = ""),
   "VALUE INCONSISTENCY",
IFERROR(VLOOKUP(C254, ListOfSitesTable, 5, FALSE), "") &amp; " " &amp;
IFERROR(VLOOKUP(C254, ListOfSitesTable, 4, FALSE), "") &amp; " " &amp;
IFERROR(VLOOKUP(C254, ListOfSitesTable, 2, FALSE), ""))))</f>
        <v/>
      </c>
      <c r="E254" s="776"/>
      <c r="F254" s="777"/>
      <c r="G254" s="727"/>
      <c r="H254" s="728"/>
      <c r="I254" s="729"/>
      <c r="J254" s="209" t="b">
        <v>0</v>
      </c>
      <c r="K254" s="204" t="b">
        <v>0</v>
      </c>
      <c r="L254" s="17" t="str">
        <f t="shared" si="4"/>
        <v/>
      </c>
      <c r="M254" s="10"/>
      <c r="N254" s="10"/>
      <c r="O254" s="10"/>
      <c r="P254" s="10"/>
      <c r="Q254" s="10"/>
    </row>
    <row r="255" spans="3:17" hidden="1" outlineLevel="1" x14ac:dyDescent="0.3">
      <c r="C255" s="199"/>
      <c r="D255" s="775" t="str">
        <f>IF(C255 = "", "",
IF(COUNTIF($C$188:C254, C255), "VALUE INCONSISTENCY",
IF(AND(COUNTIF('General Information'!$C$406:$C$505, C255),
       INDEX('General Information'!$D$406:$D$505, MATCH(C255, 'General Information'!$C$406:$C$505, 0)) = ""),
   "VALUE INCONSISTENCY",
IFERROR(VLOOKUP(C255, ListOfSitesTable, 5, FALSE), "") &amp; " " &amp;
IFERROR(VLOOKUP(C255, ListOfSitesTable, 4, FALSE), "") &amp; " " &amp;
IFERROR(VLOOKUP(C255, ListOfSitesTable, 2, FALSE), ""))))</f>
        <v/>
      </c>
      <c r="E255" s="776"/>
      <c r="F255" s="777"/>
      <c r="G255" s="727"/>
      <c r="H255" s="728"/>
      <c r="I255" s="729"/>
      <c r="J255" s="209" t="b">
        <v>0</v>
      </c>
      <c r="K255" s="204" t="b">
        <v>0</v>
      </c>
      <c r="L255" s="17" t="str">
        <f t="shared" si="4"/>
        <v/>
      </c>
      <c r="M255" s="10"/>
      <c r="N255" s="10"/>
      <c r="O255" s="10"/>
      <c r="P255" s="10"/>
      <c r="Q255" s="10"/>
    </row>
    <row r="256" spans="3:17" hidden="1" outlineLevel="1" x14ac:dyDescent="0.3">
      <c r="C256" s="199"/>
      <c r="D256" s="775" t="str">
        <f>IF(C256 = "", "",
IF(COUNTIF($C$188:C255, C256), "VALUE INCONSISTENCY",
IF(AND(COUNTIF('General Information'!$C$406:$C$505, C256),
       INDEX('General Information'!$D$406:$D$505, MATCH(C256, 'General Information'!$C$406:$C$505, 0)) = ""),
   "VALUE INCONSISTENCY",
IFERROR(VLOOKUP(C256, ListOfSitesTable, 5, FALSE), "") &amp; " " &amp;
IFERROR(VLOOKUP(C256, ListOfSitesTable, 4, FALSE), "") &amp; " " &amp;
IFERROR(VLOOKUP(C256, ListOfSitesTable, 2, FALSE), ""))))</f>
        <v/>
      </c>
      <c r="E256" s="776"/>
      <c r="F256" s="777"/>
      <c r="G256" s="727"/>
      <c r="H256" s="728"/>
      <c r="I256" s="729"/>
      <c r="J256" s="209" t="b">
        <v>0</v>
      </c>
      <c r="K256" s="204" t="b">
        <v>0</v>
      </c>
      <c r="L256" s="17" t="str">
        <f t="shared" si="4"/>
        <v/>
      </c>
      <c r="M256" s="10"/>
      <c r="N256" s="10"/>
      <c r="O256" s="10"/>
      <c r="P256" s="10"/>
      <c r="Q256" s="10"/>
    </row>
    <row r="257" spans="3:17" hidden="1" outlineLevel="1" x14ac:dyDescent="0.3">
      <c r="C257" s="199"/>
      <c r="D257" s="775" t="str">
        <f>IF(C257 = "", "",
IF(COUNTIF($C$188:C256, C257), "VALUE INCONSISTENCY",
IF(AND(COUNTIF('General Information'!$C$406:$C$505, C257),
       INDEX('General Information'!$D$406:$D$505, MATCH(C257, 'General Information'!$C$406:$C$505, 0)) = ""),
   "VALUE INCONSISTENCY",
IFERROR(VLOOKUP(C257, ListOfSitesTable, 5, FALSE), "") &amp; " " &amp;
IFERROR(VLOOKUP(C257, ListOfSitesTable, 4, FALSE), "") &amp; " " &amp;
IFERROR(VLOOKUP(C257, ListOfSitesTable, 2, FALSE), ""))))</f>
        <v/>
      </c>
      <c r="E257" s="776"/>
      <c r="F257" s="777"/>
      <c r="G257" s="727"/>
      <c r="H257" s="728"/>
      <c r="I257" s="729"/>
      <c r="J257" s="209" t="b">
        <v>0</v>
      </c>
      <c r="K257" s="204" t="b">
        <v>0</v>
      </c>
      <c r="L257" s="17" t="str">
        <f t="shared" si="4"/>
        <v/>
      </c>
      <c r="M257" s="10"/>
      <c r="N257" s="10"/>
      <c r="O257" s="10"/>
      <c r="P257" s="10"/>
      <c r="Q257" s="10"/>
    </row>
    <row r="258" spans="3:17" hidden="1" outlineLevel="1" x14ac:dyDescent="0.3">
      <c r="C258" s="199"/>
      <c r="D258" s="775" t="str">
        <f>IF(C258 = "", "",
IF(COUNTIF($C$188:C257, C258), "VALUE INCONSISTENCY",
IF(AND(COUNTIF('General Information'!$C$406:$C$505, C258),
       INDEX('General Information'!$D$406:$D$505, MATCH(C258, 'General Information'!$C$406:$C$505, 0)) = ""),
   "VALUE INCONSISTENCY",
IFERROR(VLOOKUP(C258, ListOfSitesTable, 5, FALSE), "") &amp; " " &amp;
IFERROR(VLOOKUP(C258, ListOfSitesTable, 4, FALSE), "") &amp; " " &amp;
IFERROR(VLOOKUP(C258, ListOfSitesTable, 2, FALSE), ""))))</f>
        <v/>
      </c>
      <c r="E258" s="776"/>
      <c r="F258" s="777"/>
      <c r="G258" s="727"/>
      <c r="H258" s="728"/>
      <c r="I258" s="729"/>
      <c r="J258" s="209" t="b">
        <v>0</v>
      </c>
      <c r="K258" s="204" t="b">
        <v>0</v>
      </c>
      <c r="L258" s="17" t="str">
        <f t="shared" si="4"/>
        <v/>
      </c>
      <c r="M258" s="10"/>
      <c r="N258" s="10"/>
      <c r="O258" s="10"/>
      <c r="P258" s="10"/>
      <c r="Q258" s="10"/>
    </row>
    <row r="259" spans="3:17" hidden="1" outlineLevel="1" x14ac:dyDescent="0.3">
      <c r="C259" s="199"/>
      <c r="D259" s="775" t="str">
        <f>IF(C259 = "", "",
IF(COUNTIF($C$188:C258, C259), "VALUE INCONSISTENCY",
IF(AND(COUNTIF('General Information'!$C$406:$C$505, C259),
       INDEX('General Information'!$D$406:$D$505, MATCH(C259, 'General Information'!$C$406:$C$505, 0)) = ""),
   "VALUE INCONSISTENCY",
IFERROR(VLOOKUP(C259, ListOfSitesTable, 5, FALSE), "") &amp; " " &amp;
IFERROR(VLOOKUP(C259, ListOfSitesTable, 4, FALSE), "") &amp; " " &amp;
IFERROR(VLOOKUP(C259, ListOfSitesTable, 2, FALSE), ""))))</f>
        <v/>
      </c>
      <c r="E259" s="776"/>
      <c r="F259" s="777"/>
      <c r="G259" s="727"/>
      <c r="H259" s="728"/>
      <c r="I259" s="729"/>
      <c r="J259" s="209" t="b">
        <v>0</v>
      </c>
      <c r="K259" s="204" t="b">
        <v>0</v>
      </c>
      <c r="L259" s="17" t="str">
        <f t="shared" si="4"/>
        <v/>
      </c>
      <c r="M259" s="10"/>
      <c r="N259" s="10"/>
      <c r="O259" s="10"/>
      <c r="P259" s="10"/>
      <c r="Q259" s="10"/>
    </row>
    <row r="260" spans="3:17" hidden="1" outlineLevel="1" x14ac:dyDescent="0.3">
      <c r="C260" s="199"/>
      <c r="D260" s="775" t="str">
        <f>IF(C260 = "", "",
IF(COUNTIF($C$188:C259, C260), "VALUE INCONSISTENCY",
IF(AND(COUNTIF('General Information'!$C$406:$C$505, C260),
       INDEX('General Information'!$D$406:$D$505, MATCH(C260, 'General Information'!$C$406:$C$505, 0)) = ""),
   "VALUE INCONSISTENCY",
IFERROR(VLOOKUP(C260, ListOfSitesTable, 5, FALSE), "") &amp; " " &amp;
IFERROR(VLOOKUP(C260, ListOfSitesTable, 4, FALSE), "") &amp; " " &amp;
IFERROR(VLOOKUP(C260, ListOfSitesTable, 2, FALSE), ""))))</f>
        <v/>
      </c>
      <c r="E260" s="776"/>
      <c r="F260" s="777"/>
      <c r="G260" s="727"/>
      <c r="H260" s="728"/>
      <c r="I260" s="729"/>
      <c r="J260" s="209" t="b">
        <v>0</v>
      </c>
      <c r="K260" s="204" t="b">
        <v>0</v>
      </c>
      <c r="L260" s="17" t="str">
        <f t="shared" si="4"/>
        <v/>
      </c>
      <c r="M260" s="10"/>
      <c r="N260" s="10"/>
      <c r="O260" s="10"/>
      <c r="P260" s="10"/>
      <c r="Q260" s="10"/>
    </row>
    <row r="261" spans="3:17" hidden="1" outlineLevel="1" x14ac:dyDescent="0.3">
      <c r="C261" s="199"/>
      <c r="D261" s="775" t="str">
        <f>IF(C261 = "", "",
IF(COUNTIF($C$188:C260, C261), "VALUE INCONSISTENCY",
IF(AND(COUNTIF('General Information'!$C$406:$C$505, C261),
       INDEX('General Information'!$D$406:$D$505, MATCH(C261, 'General Information'!$C$406:$C$505, 0)) = ""),
   "VALUE INCONSISTENCY",
IFERROR(VLOOKUP(C261, ListOfSitesTable, 5, FALSE), "") &amp; " " &amp;
IFERROR(VLOOKUP(C261, ListOfSitesTable, 4, FALSE), "") &amp; " " &amp;
IFERROR(VLOOKUP(C261, ListOfSitesTable, 2, FALSE), ""))))</f>
        <v/>
      </c>
      <c r="E261" s="776"/>
      <c r="F261" s="777"/>
      <c r="G261" s="727"/>
      <c r="H261" s="728"/>
      <c r="I261" s="729"/>
      <c r="J261" s="209" t="b">
        <v>0</v>
      </c>
      <c r="K261" s="204" t="b">
        <v>0</v>
      </c>
      <c r="L261" s="17" t="str">
        <f t="shared" si="4"/>
        <v/>
      </c>
      <c r="M261" s="10"/>
      <c r="N261" s="10"/>
      <c r="O261" s="10"/>
      <c r="P261" s="10"/>
      <c r="Q261" s="10"/>
    </row>
    <row r="262" spans="3:17" hidden="1" outlineLevel="1" x14ac:dyDescent="0.3">
      <c r="C262" s="199"/>
      <c r="D262" s="775" t="str">
        <f>IF(C262 = "", "",
IF(COUNTIF($C$188:C261, C262), "VALUE INCONSISTENCY",
IF(AND(COUNTIF('General Information'!$C$406:$C$505, C262),
       INDEX('General Information'!$D$406:$D$505, MATCH(C262, 'General Information'!$C$406:$C$505, 0)) = ""),
   "VALUE INCONSISTENCY",
IFERROR(VLOOKUP(C262, ListOfSitesTable, 5, FALSE), "") &amp; " " &amp;
IFERROR(VLOOKUP(C262, ListOfSitesTable, 4, FALSE), "") &amp; " " &amp;
IFERROR(VLOOKUP(C262, ListOfSitesTable, 2, FALSE), ""))))</f>
        <v/>
      </c>
      <c r="E262" s="776"/>
      <c r="F262" s="777"/>
      <c r="G262" s="727"/>
      <c r="H262" s="728"/>
      <c r="I262" s="729"/>
      <c r="J262" s="209" t="b">
        <v>0</v>
      </c>
      <c r="K262" s="204" t="b">
        <v>0</v>
      </c>
      <c r="L262" s="17" t="str">
        <f t="shared" si="4"/>
        <v/>
      </c>
      <c r="M262" s="10"/>
      <c r="N262" s="10"/>
      <c r="O262" s="10"/>
      <c r="P262" s="10"/>
      <c r="Q262" s="10"/>
    </row>
    <row r="263" spans="3:17" hidden="1" outlineLevel="1" x14ac:dyDescent="0.3">
      <c r="C263" s="199"/>
      <c r="D263" s="775" t="str">
        <f>IF(C263 = "", "",
IF(COUNTIF($C$188:C262, C263), "VALUE INCONSISTENCY",
IF(AND(COUNTIF('General Information'!$C$406:$C$505, C263),
       INDEX('General Information'!$D$406:$D$505, MATCH(C263, 'General Information'!$C$406:$C$505, 0)) = ""),
   "VALUE INCONSISTENCY",
IFERROR(VLOOKUP(C263, ListOfSitesTable, 5, FALSE), "") &amp; " " &amp;
IFERROR(VLOOKUP(C263, ListOfSitesTable, 4, FALSE), "") &amp; " " &amp;
IFERROR(VLOOKUP(C263, ListOfSitesTable, 2, FALSE), ""))))</f>
        <v/>
      </c>
      <c r="E263" s="776"/>
      <c r="F263" s="777"/>
      <c r="G263" s="727"/>
      <c r="H263" s="728"/>
      <c r="I263" s="729"/>
      <c r="J263" s="209" t="b">
        <v>0</v>
      </c>
      <c r="K263" s="204" t="b">
        <v>0</v>
      </c>
      <c r="L263" s="17" t="str">
        <f t="shared" si="4"/>
        <v/>
      </c>
      <c r="M263" s="10"/>
      <c r="N263" s="10"/>
      <c r="O263" s="10"/>
      <c r="P263" s="10"/>
      <c r="Q263" s="10"/>
    </row>
    <row r="264" spans="3:17" hidden="1" outlineLevel="1" x14ac:dyDescent="0.3">
      <c r="C264" s="199"/>
      <c r="D264" s="775" t="str">
        <f>IF(C264 = "", "",
IF(COUNTIF($C$188:C263, C264), "VALUE INCONSISTENCY",
IF(AND(COUNTIF('General Information'!$C$406:$C$505, C264),
       INDEX('General Information'!$D$406:$D$505, MATCH(C264, 'General Information'!$C$406:$C$505, 0)) = ""),
   "VALUE INCONSISTENCY",
IFERROR(VLOOKUP(C264, ListOfSitesTable, 5, FALSE), "") &amp; " " &amp;
IFERROR(VLOOKUP(C264, ListOfSitesTable, 4, FALSE), "") &amp; " " &amp;
IFERROR(VLOOKUP(C264, ListOfSitesTable, 2, FALSE), ""))))</f>
        <v/>
      </c>
      <c r="E264" s="776"/>
      <c r="F264" s="777"/>
      <c r="G264" s="727"/>
      <c r="H264" s="728"/>
      <c r="I264" s="729"/>
      <c r="J264" s="209" t="b">
        <v>0</v>
      </c>
      <c r="K264" s="204" t="b">
        <v>0</v>
      </c>
      <c r="L264" s="17" t="str">
        <f t="shared" si="4"/>
        <v/>
      </c>
      <c r="M264" s="10"/>
      <c r="N264" s="10"/>
      <c r="O264" s="10"/>
      <c r="P264" s="10"/>
      <c r="Q264" s="10"/>
    </row>
    <row r="265" spans="3:17" hidden="1" outlineLevel="1" x14ac:dyDescent="0.3">
      <c r="C265" s="199"/>
      <c r="D265" s="775" t="str">
        <f>IF(C265 = "", "",
IF(COUNTIF($C$188:C264, C265), "VALUE INCONSISTENCY",
IF(AND(COUNTIF('General Information'!$C$406:$C$505, C265),
       INDEX('General Information'!$D$406:$D$505, MATCH(C265, 'General Information'!$C$406:$C$505, 0)) = ""),
   "VALUE INCONSISTENCY",
IFERROR(VLOOKUP(C265, ListOfSitesTable, 5, FALSE), "") &amp; " " &amp;
IFERROR(VLOOKUP(C265, ListOfSitesTable, 4, FALSE), "") &amp; " " &amp;
IFERROR(VLOOKUP(C265, ListOfSitesTable, 2, FALSE), ""))))</f>
        <v/>
      </c>
      <c r="E265" s="776"/>
      <c r="F265" s="777"/>
      <c r="G265" s="727"/>
      <c r="H265" s="728"/>
      <c r="I265" s="729"/>
      <c r="J265" s="209" t="b">
        <v>0</v>
      </c>
      <c r="K265" s="204" t="b">
        <v>0</v>
      </c>
      <c r="L265" s="17" t="str">
        <f t="shared" si="4"/>
        <v/>
      </c>
      <c r="M265" s="10"/>
      <c r="N265" s="10"/>
      <c r="O265" s="10"/>
      <c r="P265" s="10"/>
      <c r="Q265" s="10"/>
    </row>
    <row r="266" spans="3:17" hidden="1" outlineLevel="1" x14ac:dyDescent="0.3">
      <c r="C266" s="199"/>
      <c r="D266" s="775" t="str">
        <f>IF(C266 = "", "",
IF(COUNTIF($C$188:C265, C266), "VALUE INCONSISTENCY",
IF(AND(COUNTIF('General Information'!$C$406:$C$505, C266),
       INDEX('General Information'!$D$406:$D$505, MATCH(C266, 'General Information'!$C$406:$C$505, 0)) = ""),
   "VALUE INCONSISTENCY",
IFERROR(VLOOKUP(C266, ListOfSitesTable, 5, FALSE), "") &amp; " " &amp;
IFERROR(VLOOKUP(C266, ListOfSitesTable, 4, FALSE), "") &amp; " " &amp;
IFERROR(VLOOKUP(C266, ListOfSitesTable, 2, FALSE), ""))))</f>
        <v/>
      </c>
      <c r="E266" s="776"/>
      <c r="F266" s="777"/>
      <c r="G266" s="727"/>
      <c r="H266" s="728"/>
      <c r="I266" s="729"/>
      <c r="J266" s="209" t="b">
        <v>0</v>
      </c>
      <c r="K266" s="204" t="b">
        <v>0</v>
      </c>
      <c r="L266" s="17" t="str">
        <f t="shared" si="4"/>
        <v/>
      </c>
      <c r="M266" s="10"/>
      <c r="N266" s="10"/>
      <c r="O266" s="10"/>
      <c r="P266" s="10"/>
      <c r="Q266" s="10"/>
    </row>
    <row r="267" spans="3:17" hidden="1" outlineLevel="1" x14ac:dyDescent="0.3">
      <c r="C267" s="199"/>
      <c r="D267" s="775" t="str">
        <f>IF(C267 = "", "",
IF(COUNTIF($C$188:C266, C267), "VALUE INCONSISTENCY",
IF(AND(COUNTIF('General Information'!$C$406:$C$505, C267),
       INDEX('General Information'!$D$406:$D$505, MATCH(C267, 'General Information'!$C$406:$C$505, 0)) = ""),
   "VALUE INCONSISTENCY",
IFERROR(VLOOKUP(C267, ListOfSitesTable, 5, FALSE), "") &amp; " " &amp;
IFERROR(VLOOKUP(C267, ListOfSitesTable, 4, FALSE), "") &amp; " " &amp;
IFERROR(VLOOKUP(C267, ListOfSitesTable, 2, FALSE), ""))))</f>
        <v/>
      </c>
      <c r="E267" s="776"/>
      <c r="F267" s="777"/>
      <c r="G267" s="727"/>
      <c r="H267" s="728"/>
      <c r="I267" s="729"/>
      <c r="J267" s="209" t="b">
        <v>0</v>
      </c>
      <c r="K267" s="204" t="b">
        <v>0</v>
      </c>
      <c r="L267" s="17" t="str">
        <f t="shared" si="4"/>
        <v/>
      </c>
      <c r="M267" s="10"/>
      <c r="N267" s="10"/>
      <c r="O267" s="10"/>
      <c r="P267" s="10"/>
      <c r="Q267" s="10"/>
    </row>
    <row r="268" spans="3:17" hidden="1" outlineLevel="1" x14ac:dyDescent="0.3">
      <c r="C268" s="199"/>
      <c r="D268" s="775" t="str">
        <f>IF(C268 = "", "",
IF(COUNTIF($C$188:C267, C268), "VALUE INCONSISTENCY",
IF(AND(COUNTIF('General Information'!$C$406:$C$505, C268),
       INDEX('General Information'!$D$406:$D$505, MATCH(C268, 'General Information'!$C$406:$C$505, 0)) = ""),
   "VALUE INCONSISTENCY",
IFERROR(VLOOKUP(C268, ListOfSitesTable, 5, FALSE), "") &amp; " " &amp;
IFERROR(VLOOKUP(C268, ListOfSitesTable, 4, FALSE), "") &amp; " " &amp;
IFERROR(VLOOKUP(C268, ListOfSitesTable, 2, FALSE), ""))))</f>
        <v/>
      </c>
      <c r="E268" s="776"/>
      <c r="F268" s="777"/>
      <c r="G268" s="727"/>
      <c r="H268" s="728"/>
      <c r="I268" s="729"/>
      <c r="J268" s="209" t="b">
        <v>0</v>
      </c>
      <c r="K268" s="204" t="b">
        <v>0</v>
      </c>
      <c r="L268" s="17" t="str">
        <f t="shared" si="4"/>
        <v/>
      </c>
      <c r="M268" s="10"/>
      <c r="N268" s="10"/>
      <c r="O268" s="10"/>
      <c r="P268" s="10"/>
      <c r="Q268" s="10"/>
    </row>
    <row r="269" spans="3:17" hidden="1" outlineLevel="1" x14ac:dyDescent="0.3">
      <c r="C269" s="199"/>
      <c r="D269" s="775" t="str">
        <f>IF(C269 = "", "",
IF(COUNTIF($C$188:C268, C269), "VALUE INCONSISTENCY",
IF(AND(COUNTIF('General Information'!$C$406:$C$505, C269),
       INDEX('General Information'!$D$406:$D$505, MATCH(C269, 'General Information'!$C$406:$C$505, 0)) = ""),
   "VALUE INCONSISTENCY",
IFERROR(VLOOKUP(C269, ListOfSitesTable, 5, FALSE), "") &amp; " " &amp;
IFERROR(VLOOKUP(C269, ListOfSitesTable, 4, FALSE), "") &amp; " " &amp;
IFERROR(VLOOKUP(C269, ListOfSitesTable, 2, FALSE), ""))))</f>
        <v/>
      </c>
      <c r="E269" s="776"/>
      <c r="F269" s="777"/>
      <c r="G269" s="727"/>
      <c r="H269" s="728"/>
      <c r="I269" s="729"/>
      <c r="J269" s="209" t="b">
        <v>0</v>
      </c>
      <c r="K269" s="204" t="b">
        <v>0</v>
      </c>
      <c r="L269" s="17" t="str">
        <f t="shared" si="4"/>
        <v/>
      </c>
      <c r="M269" s="10"/>
      <c r="N269" s="10"/>
      <c r="O269" s="10"/>
      <c r="P269" s="10"/>
      <c r="Q269" s="10"/>
    </row>
    <row r="270" spans="3:17" hidden="1" outlineLevel="1" x14ac:dyDescent="0.3">
      <c r="C270" s="199"/>
      <c r="D270" s="775" t="str">
        <f>IF(C270 = "", "",
IF(COUNTIF($C$188:C269, C270), "VALUE INCONSISTENCY",
IF(AND(COUNTIF('General Information'!$C$406:$C$505, C270),
       INDEX('General Information'!$D$406:$D$505, MATCH(C270, 'General Information'!$C$406:$C$505, 0)) = ""),
   "VALUE INCONSISTENCY",
IFERROR(VLOOKUP(C270, ListOfSitesTable, 5, FALSE), "") &amp; " " &amp;
IFERROR(VLOOKUP(C270, ListOfSitesTable, 4, FALSE), "") &amp; " " &amp;
IFERROR(VLOOKUP(C270, ListOfSitesTable, 2, FALSE), ""))))</f>
        <v/>
      </c>
      <c r="E270" s="776"/>
      <c r="F270" s="777"/>
      <c r="G270" s="727"/>
      <c r="H270" s="728"/>
      <c r="I270" s="729"/>
      <c r="J270" s="209" t="b">
        <v>0</v>
      </c>
      <c r="K270" s="204" t="b">
        <v>0</v>
      </c>
      <c r="L270" s="17" t="str">
        <f t="shared" si="4"/>
        <v/>
      </c>
      <c r="M270" s="10"/>
      <c r="N270" s="10"/>
      <c r="O270" s="10"/>
      <c r="P270" s="10"/>
      <c r="Q270" s="10"/>
    </row>
    <row r="271" spans="3:17" hidden="1" outlineLevel="1" x14ac:dyDescent="0.3">
      <c r="C271" s="199"/>
      <c r="D271" s="775" t="str">
        <f>IF(C271 = "", "",
IF(COUNTIF($C$188:C270, C271), "VALUE INCONSISTENCY",
IF(AND(COUNTIF('General Information'!$C$406:$C$505, C271),
       INDEX('General Information'!$D$406:$D$505, MATCH(C271, 'General Information'!$C$406:$C$505, 0)) = ""),
   "VALUE INCONSISTENCY",
IFERROR(VLOOKUP(C271, ListOfSitesTable, 5, FALSE), "") &amp; " " &amp;
IFERROR(VLOOKUP(C271, ListOfSitesTable, 4, FALSE), "") &amp; " " &amp;
IFERROR(VLOOKUP(C271, ListOfSitesTable, 2, FALSE), ""))))</f>
        <v/>
      </c>
      <c r="E271" s="776"/>
      <c r="F271" s="777"/>
      <c r="G271" s="727"/>
      <c r="H271" s="728"/>
      <c r="I271" s="729"/>
      <c r="J271" s="209" t="b">
        <v>0</v>
      </c>
      <c r="K271" s="204" t="b">
        <v>0</v>
      </c>
      <c r="L271" s="17" t="str">
        <f t="shared" si="4"/>
        <v/>
      </c>
      <c r="M271" s="10"/>
      <c r="N271" s="10"/>
      <c r="O271" s="10"/>
      <c r="P271" s="10"/>
      <c r="Q271" s="10"/>
    </row>
    <row r="272" spans="3:17" hidden="1" outlineLevel="1" x14ac:dyDescent="0.3">
      <c r="C272" s="199"/>
      <c r="D272" s="775" t="str">
        <f>IF(C272 = "", "",
IF(COUNTIF($C$188:C271, C272), "VALUE INCONSISTENCY",
IF(AND(COUNTIF('General Information'!$C$406:$C$505, C272),
       INDEX('General Information'!$D$406:$D$505, MATCH(C272, 'General Information'!$C$406:$C$505, 0)) = ""),
   "VALUE INCONSISTENCY",
IFERROR(VLOOKUP(C272, ListOfSitesTable, 5, FALSE), "") &amp; " " &amp;
IFERROR(VLOOKUP(C272, ListOfSitesTable, 4, FALSE), "") &amp; " " &amp;
IFERROR(VLOOKUP(C272, ListOfSitesTable, 2, FALSE), ""))))</f>
        <v/>
      </c>
      <c r="E272" s="776"/>
      <c r="F272" s="777"/>
      <c r="G272" s="727"/>
      <c r="H272" s="728"/>
      <c r="I272" s="729"/>
      <c r="J272" s="209" t="b">
        <v>0</v>
      </c>
      <c r="K272" s="204" t="b">
        <v>0</v>
      </c>
      <c r="L272" s="17" t="str">
        <f t="shared" si="4"/>
        <v/>
      </c>
      <c r="M272" s="10"/>
      <c r="N272" s="10"/>
      <c r="O272" s="10"/>
      <c r="P272" s="10"/>
      <c r="Q272" s="10"/>
    </row>
    <row r="273" spans="3:17" hidden="1" outlineLevel="1" x14ac:dyDescent="0.3">
      <c r="C273" s="199"/>
      <c r="D273" s="775" t="str">
        <f>IF(C273 = "", "",
IF(COUNTIF($C$188:C272, C273), "VALUE INCONSISTENCY",
IF(AND(COUNTIF('General Information'!$C$406:$C$505, C273),
       INDEX('General Information'!$D$406:$D$505, MATCH(C273, 'General Information'!$C$406:$C$505, 0)) = ""),
   "VALUE INCONSISTENCY",
IFERROR(VLOOKUP(C273, ListOfSitesTable, 5, FALSE), "") &amp; " " &amp;
IFERROR(VLOOKUP(C273, ListOfSitesTable, 4, FALSE), "") &amp; " " &amp;
IFERROR(VLOOKUP(C273, ListOfSitesTable, 2, FALSE), ""))))</f>
        <v/>
      </c>
      <c r="E273" s="776"/>
      <c r="F273" s="777"/>
      <c r="G273" s="727"/>
      <c r="H273" s="728"/>
      <c r="I273" s="729"/>
      <c r="J273" s="209" t="b">
        <v>0</v>
      </c>
      <c r="K273" s="204" t="b">
        <v>0</v>
      </c>
      <c r="L273" s="17" t="str">
        <f t="shared" si="4"/>
        <v/>
      </c>
      <c r="M273" s="10"/>
      <c r="N273" s="10"/>
      <c r="O273" s="10"/>
      <c r="P273" s="10"/>
      <c r="Q273" s="10"/>
    </row>
    <row r="274" spans="3:17" hidden="1" outlineLevel="1" x14ac:dyDescent="0.3">
      <c r="C274" s="199"/>
      <c r="D274" s="775" t="str">
        <f>IF(C274 = "", "",
IF(COUNTIF($C$188:C273, C274), "VALUE INCONSISTENCY",
IF(AND(COUNTIF('General Information'!$C$406:$C$505, C274),
       INDEX('General Information'!$D$406:$D$505, MATCH(C274, 'General Information'!$C$406:$C$505, 0)) = ""),
   "VALUE INCONSISTENCY",
IFERROR(VLOOKUP(C274, ListOfSitesTable, 5, FALSE), "") &amp; " " &amp;
IFERROR(VLOOKUP(C274, ListOfSitesTable, 4, FALSE), "") &amp; " " &amp;
IFERROR(VLOOKUP(C274, ListOfSitesTable, 2, FALSE), ""))))</f>
        <v/>
      </c>
      <c r="E274" s="776"/>
      <c r="F274" s="777"/>
      <c r="G274" s="727"/>
      <c r="H274" s="728"/>
      <c r="I274" s="729"/>
      <c r="J274" s="209" t="b">
        <v>0</v>
      </c>
      <c r="K274" s="204" t="b">
        <v>0</v>
      </c>
      <c r="L274" s="17" t="str">
        <f t="shared" si="4"/>
        <v/>
      </c>
      <c r="M274" s="10"/>
      <c r="N274" s="10"/>
      <c r="O274" s="10"/>
      <c r="P274" s="10"/>
      <c r="Q274" s="10"/>
    </row>
    <row r="275" spans="3:17" hidden="1" outlineLevel="1" x14ac:dyDescent="0.3">
      <c r="C275" s="199"/>
      <c r="D275" s="775" t="str">
        <f>IF(C275 = "", "",
IF(COUNTIF($C$188:C274, C275), "VALUE INCONSISTENCY",
IF(AND(COUNTIF('General Information'!$C$406:$C$505, C275),
       INDEX('General Information'!$D$406:$D$505, MATCH(C275, 'General Information'!$C$406:$C$505, 0)) = ""),
   "VALUE INCONSISTENCY",
IFERROR(VLOOKUP(C275, ListOfSitesTable, 5, FALSE), "") &amp; " " &amp;
IFERROR(VLOOKUP(C275, ListOfSitesTable, 4, FALSE), "") &amp; " " &amp;
IFERROR(VLOOKUP(C275, ListOfSitesTable, 2, FALSE), ""))))</f>
        <v/>
      </c>
      <c r="E275" s="776"/>
      <c r="F275" s="777"/>
      <c r="G275" s="727"/>
      <c r="H275" s="728"/>
      <c r="I275" s="729"/>
      <c r="J275" s="209" t="b">
        <v>0</v>
      </c>
      <c r="K275" s="204" t="b">
        <v>0</v>
      </c>
      <c r="L275" s="17" t="str">
        <f t="shared" si="4"/>
        <v/>
      </c>
      <c r="M275" s="10"/>
      <c r="N275" s="10"/>
      <c r="O275" s="10"/>
      <c r="P275" s="10"/>
      <c r="Q275" s="10"/>
    </row>
    <row r="276" spans="3:17" hidden="1" outlineLevel="1" x14ac:dyDescent="0.3">
      <c r="C276" s="199"/>
      <c r="D276" s="775" t="str">
        <f>IF(C276 = "", "",
IF(COUNTIF($C$188:C275, C276), "VALUE INCONSISTENCY",
IF(AND(COUNTIF('General Information'!$C$406:$C$505, C276),
       INDEX('General Information'!$D$406:$D$505, MATCH(C276, 'General Information'!$C$406:$C$505, 0)) = ""),
   "VALUE INCONSISTENCY",
IFERROR(VLOOKUP(C276, ListOfSitesTable, 5, FALSE), "") &amp; " " &amp;
IFERROR(VLOOKUP(C276, ListOfSitesTable, 4, FALSE), "") &amp; " " &amp;
IFERROR(VLOOKUP(C276, ListOfSitesTable, 2, FALSE), ""))))</f>
        <v/>
      </c>
      <c r="E276" s="776"/>
      <c r="F276" s="777"/>
      <c r="G276" s="727"/>
      <c r="H276" s="728"/>
      <c r="I276" s="729"/>
      <c r="J276" s="209" t="b">
        <v>0</v>
      </c>
      <c r="K276" s="204" t="b">
        <v>0</v>
      </c>
      <c r="L276" s="17" t="str">
        <f t="shared" si="4"/>
        <v/>
      </c>
      <c r="M276" s="10"/>
      <c r="N276" s="10"/>
      <c r="O276" s="10"/>
      <c r="P276" s="10"/>
      <c r="Q276" s="10"/>
    </row>
    <row r="277" spans="3:17" hidden="1" outlineLevel="1" x14ac:dyDescent="0.3">
      <c r="C277" s="199"/>
      <c r="D277" s="775" t="str">
        <f>IF(C277 = "", "",
IF(COUNTIF($C$188:C276, C277), "VALUE INCONSISTENCY",
IF(AND(COUNTIF('General Information'!$C$406:$C$505, C277),
       INDEX('General Information'!$D$406:$D$505, MATCH(C277, 'General Information'!$C$406:$C$505, 0)) = ""),
   "VALUE INCONSISTENCY",
IFERROR(VLOOKUP(C277, ListOfSitesTable, 5, FALSE), "") &amp; " " &amp;
IFERROR(VLOOKUP(C277, ListOfSitesTable, 4, FALSE), "") &amp; " " &amp;
IFERROR(VLOOKUP(C277, ListOfSitesTable, 2, FALSE), ""))))</f>
        <v/>
      </c>
      <c r="E277" s="776"/>
      <c r="F277" s="777"/>
      <c r="G277" s="727"/>
      <c r="H277" s="728"/>
      <c r="I277" s="729"/>
      <c r="J277" s="209" t="b">
        <v>0</v>
      </c>
      <c r="K277" s="204" t="b">
        <v>0</v>
      </c>
      <c r="L277" s="17" t="str">
        <f t="shared" si="4"/>
        <v/>
      </c>
      <c r="M277" s="10"/>
      <c r="N277" s="10"/>
      <c r="O277" s="10"/>
      <c r="P277" s="10"/>
      <c r="Q277" s="10"/>
    </row>
    <row r="278" spans="3:17" hidden="1" outlineLevel="1" x14ac:dyDescent="0.3">
      <c r="C278" s="199"/>
      <c r="D278" s="775" t="str">
        <f>IF(C278 = "", "",
IF(COUNTIF($C$188:C277, C278), "VALUE INCONSISTENCY",
IF(AND(COUNTIF('General Information'!$C$406:$C$505, C278),
       INDEX('General Information'!$D$406:$D$505, MATCH(C278, 'General Information'!$C$406:$C$505, 0)) = ""),
   "VALUE INCONSISTENCY",
IFERROR(VLOOKUP(C278, ListOfSitesTable, 5, FALSE), "") &amp; " " &amp;
IFERROR(VLOOKUP(C278, ListOfSitesTable, 4, FALSE), "") &amp; " " &amp;
IFERROR(VLOOKUP(C278, ListOfSitesTable, 2, FALSE), ""))))</f>
        <v/>
      </c>
      <c r="E278" s="776"/>
      <c r="F278" s="777"/>
      <c r="G278" s="727"/>
      <c r="H278" s="728"/>
      <c r="I278" s="729"/>
      <c r="J278" s="209" t="b">
        <v>0</v>
      </c>
      <c r="K278" s="204" t="b">
        <v>0</v>
      </c>
      <c r="L278" s="17" t="str">
        <f t="shared" si="4"/>
        <v/>
      </c>
      <c r="M278" s="10"/>
      <c r="N278" s="10"/>
      <c r="O278" s="10"/>
      <c r="P278" s="10"/>
      <c r="Q278" s="10"/>
    </row>
    <row r="279" spans="3:17" hidden="1" outlineLevel="1" x14ac:dyDescent="0.3">
      <c r="C279" s="199"/>
      <c r="D279" s="775" t="str">
        <f>IF(C279 = "", "",
IF(COUNTIF($C$188:C278, C279), "VALUE INCONSISTENCY",
IF(AND(COUNTIF('General Information'!$C$406:$C$505, C279),
       INDEX('General Information'!$D$406:$D$505, MATCH(C279, 'General Information'!$C$406:$C$505, 0)) = ""),
   "VALUE INCONSISTENCY",
IFERROR(VLOOKUP(C279, ListOfSitesTable, 5, FALSE), "") &amp; " " &amp;
IFERROR(VLOOKUP(C279, ListOfSitesTable, 4, FALSE), "") &amp; " " &amp;
IFERROR(VLOOKUP(C279, ListOfSitesTable, 2, FALSE), ""))))</f>
        <v/>
      </c>
      <c r="E279" s="776"/>
      <c r="F279" s="777"/>
      <c r="G279" s="727"/>
      <c r="H279" s="728"/>
      <c r="I279" s="729"/>
      <c r="J279" s="209" t="b">
        <v>0</v>
      </c>
      <c r="K279" s="204" t="b">
        <v>0</v>
      </c>
      <c r="L279" s="17" t="str">
        <f t="shared" si="4"/>
        <v/>
      </c>
      <c r="M279" s="10"/>
      <c r="N279" s="10"/>
      <c r="O279" s="10"/>
      <c r="P279" s="10"/>
      <c r="Q279" s="10"/>
    </row>
    <row r="280" spans="3:17" hidden="1" outlineLevel="1" x14ac:dyDescent="0.3">
      <c r="C280" s="199"/>
      <c r="D280" s="775" t="str">
        <f>IF(C280 = "", "",
IF(COUNTIF($C$188:C279, C280), "VALUE INCONSISTENCY",
IF(AND(COUNTIF('General Information'!$C$406:$C$505, C280),
       INDEX('General Information'!$D$406:$D$505, MATCH(C280, 'General Information'!$C$406:$C$505, 0)) = ""),
   "VALUE INCONSISTENCY",
IFERROR(VLOOKUP(C280, ListOfSitesTable, 5, FALSE), "") &amp; " " &amp;
IFERROR(VLOOKUP(C280, ListOfSitesTable, 4, FALSE), "") &amp; " " &amp;
IFERROR(VLOOKUP(C280, ListOfSitesTable, 2, FALSE), ""))))</f>
        <v/>
      </c>
      <c r="E280" s="776"/>
      <c r="F280" s="777"/>
      <c r="G280" s="727"/>
      <c r="H280" s="728"/>
      <c r="I280" s="729"/>
      <c r="J280" s="209" t="b">
        <v>0</v>
      </c>
      <c r="K280" s="204" t="b">
        <v>0</v>
      </c>
      <c r="L280" s="17" t="str">
        <f t="shared" si="4"/>
        <v/>
      </c>
      <c r="M280" s="10"/>
      <c r="N280" s="10"/>
      <c r="O280" s="10"/>
      <c r="P280" s="10"/>
      <c r="Q280" s="10"/>
    </row>
    <row r="281" spans="3:17" hidden="1" outlineLevel="1" x14ac:dyDescent="0.3">
      <c r="C281" s="199"/>
      <c r="D281" s="775" t="str">
        <f>IF(C281 = "", "",
IF(COUNTIF($C$188:C280, C281), "VALUE INCONSISTENCY",
IF(AND(COUNTIF('General Information'!$C$406:$C$505, C281),
       INDEX('General Information'!$D$406:$D$505, MATCH(C281, 'General Information'!$C$406:$C$505, 0)) = ""),
   "VALUE INCONSISTENCY",
IFERROR(VLOOKUP(C281, ListOfSitesTable, 5, FALSE), "") &amp; " " &amp;
IFERROR(VLOOKUP(C281, ListOfSitesTable, 4, FALSE), "") &amp; " " &amp;
IFERROR(VLOOKUP(C281, ListOfSitesTable, 2, FALSE), ""))))</f>
        <v/>
      </c>
      <c r="E281" s="776"/>
      <c r="F281" s="777"/>
      <c r="G281" s="727"/>
      <c r="H281" s="728"/>
      <c r="I281" s="729"/>
      <c r="J281" s="209" t="b">
        <v>0</v>
      </c>
      <c r="K281" s="204" t="b">
        <v>0</v>
      </c>
      <c r="L281" s="17" t="str">
        <f t="shared" si="4"/>
        <v/>
      </c>
      <c r="M281" s="10"/>
      <c r="N281" s="10"/>
      <c r="O281" s="10"/>
      <c r="P281" s="10"/>
      <c r="Q281" s="10"/>
    </row>
    <row r="282" spans="3:17" hidden="1" outlineLevel="1" x14ac:dyDescent="0.3">
      <c r="C282" s="199"/>
      <c r="D282" s="775" t="str">
        <f>IF(C282 = "", "",
IF(COUNTIF($C$188:C281, C282), "VALUE INCONSISTENCY",
IF(AND(COUNTIF('General Information'!$C$406:$C$505, C282),
       INDEX('General Information'!$D$406:$D$505, MATCH(C282, 'General Information'!$C$406:$C$505, 0)) = ""),
   "VALUE INCONSISTENCY",
IFERROR(VLOOKUP(C282, ListOfSitesTable, 5, FALSE), "") &amp; " " &amp;
IFERROR(VLOOKUP(C282, ListOfSitesTable, 4, FALSE), "") &amp; " " &amp;
IFERROR(VLOOKUP(C282, ListOfSitesTable, 2, FALSE), ""))))</f>
        <v/>
      </c>
      <c r="E282" s="776"/>
      <c r="F282" s="777"/>
      <c r="G282" s="727"/>
      <c r="H282" s="728"/>
      <c r="I282" s="729"/>
      <c r="J282" s="209" t="b">
        <v>0</v>
      </c>
      <c r="K282" s="204" t="b">
        <v>0</v>
      </c>
      <c r="L282" s="17" t="str">
        <f t="shared" si="4"/>
        <v/>
      </c>
      <c r="M282" s="10"/>
      <c r="N282" s="10"/>
      <c r="O282" s="10"/>
      <c r="P282" s="10"/>
      <c r="Q282" s="10"/>
    </row>
    <row r="283" spans="3:17" hidden="1" outlineLevel="1" x14ac:dyDescent="0.3">
      <c r="C283" s="199"/>
      <c r="D283" s="775" t="str">
        <f>IF(C283 = "", "",
IF(COUNTIF($C$188:C282, C283), "VALUE INCONSISTENCY",
IF(AND(COUNTIF('General Information'!$C$406:$C$505, C283),
       INDEX('General Information'!$D$406:$D$505, MATCH(C283, 'General Information'!$C$406:$C$505, 0)) = ""),
   "VALUE INCONSISTENCY",
IFERROR(VLOOKUP(C283, ListOfSitesTable, 5, FALSE), "") &amp; " " &amp;
IFERROR(VLOOKUP(C283, ListOfSitesTable, 4, FALSE), "") &amp; " " &amp;
IFERROR(VLOOKUP(C283, ListOfSitesTable, 2, FALSE), ""))))</f>
        <v/>
      </c>
      <c r="E283" s="776"/>
      <c r="F283" s="777"/>
      <c r="G283" s="727"/>
      <c r="H283" s="728"/>
      <c r="I283" s="729"/>
      <c r="J283" s="209" t="b">
        <v>0</v>
      </c>
      <c r="K283" s="204" t="b">
        <v>0</v>
      </c>
      <c r="L283" s="17" t="str">
        <f t="shared" si="4"/>
        <v/>
      </c>
      <c r="M283" s="10"/>
      <c r="N283" s="10"/>
      <c r="O283" s="10"/>
      <c r="P283" s="10"/>
      <c r="Q283" s="10"/>
    </row>
    <row r="284" spans="3:17" hidden="1" outlineLevel="1" x14ac:dyDescent="0.3">
      <c r="C284" s="199"/>
      <c r="D284" s="775" t="str">
        <f>IF(C284 = "", "",
IF(COUNTIF($C$188:C283, C284), "VALUE INCONSISTENCY",
IF(AND(COUNTIF('General Information'!$C$406:$C$505, C284),
       INDEX('General Information'!$D$406:$D$505, MATCH(C284, 'General Information'!$C$406:$C$505, 0)) = ""),
   "VALUE INCONSISTENCY",
IFERROR(VLOOKUP(C284, ListOfSitesTable, 5, FALSE), "") &amp; " " &amp;
IFERROR(VLOOKUP(C284, ListOfSitesTable, 4, FALSE), "") &amp; " " &amp;
IFERROR(VLOOKUP(C284, ListOfSitesTable, 2, FALSE), ""))))</f>
        <v/>
      </c>
      <c r="E284" s="776"/>
      <c r="F284" s="777"/>
      <c r="G284" s="727"/>
      <c r="H284" s="728"/>
      <c r="I284" s="729"/>
      <c r="J284" s="209" t="b">
        <v>0</v>
      </c>
      <c r="K284" s="204" t="b">
        <v>0</v>
      </c>
      <c r="L284" s="17" t="str">
        <f t="shared" si="4"/>
        <v/>
      </c>
      <c r="M284" s="10"/>
      <c r="N284" s="10"/>
      <c r="O284" s="10"/>
      <c r="P284" s="10"/>
      <c r="Q284" s="10"/>
    </row>
    <row r="285" spans="3:17" hidden="1" outlineLevel="1" x14ac:dyDescent="0.3">
      <c r="C285" s="199"/>
      <c r="D285" s="775" t="str">
        <f>IF(C285 = "", "",
IF(COUNTIF($C$188:C284, C285), "VALUE INCONSISTENCY",
IF(AND(COUNTIF('General Information'!$C$406:$C$505, C285),
       INDEX('General Information'!$D$406:$D$505, MATCH(C285, 'General Information'!$C$406:$C$505, 0)) = ""),
   "VALUE INCONSISTENCY",
IFERROR(VLOOKUP(C285, ListOfSitesTable, 5, FALSE), "") &amp; " " &amp;
IFERROR(VLOOKUP(C285, ListOfSitesTable, 4, FALSE), "") &amp; " " &amp;
IFERROR(VLOOKUP(C285, ListOfSitesTable, 2, FALSE), ""))))</f>
        <v/>
      </c>
      <c r="E285" s="776"/>
      <c r="F285" s="777"/>
      <c r="G285" s="727"/>
      <c r="H285" s="728"/>
      <c r="I285" s="729"/>
      <c r="J285" s="209" t="b">
        <v>0</v>
      </c>
      <c r="K285" s="204" t="b">
        <v>0</v>
      </c>
      <c r="L285" s="17" t="str">
        <f t="shared" si="4"/>
        <v/>
      </c>
      <c r="M285" s="10"/>
      <c r="N285" s="10"/>
      <c r="O285" s="10"/>
      <c r="P285" s="10"/>
      <c r="Q285" s="10"/>
    </row>
    <row r="286" spans="3:17" hidden="1" outlineLevel="1" x14ac:dyDescent="0.3">
      <c r="C286" s="199"/>
      <c r="D286" s="775" t="str">
        <f>IF(C286 = "", "",
IF(COUNTIF($C$188:C211, C286), "VALUE INCONSISTENCY",
IF(AND(COUNTIF('General Information'!$C$406:$C$505, C286),
       INDEX('General Information'!$D$406:$D$505, MATCH(C286, 'General Information'!$C$406:$C$505, 0)) = ""),
   "VALUE INCONSISTENCY",
IFERROR(VLOOKUP(C286, ListOfSitesTable, 5, FALSE), "") &amp; " " &amp;
IFERROR(VLOOKUP(C286, ListOfSitesTable, 4, FALSE), "") &amp; " " &amp;
IFERROR(VLOOKUP(C286, ListOfSitesTable, 2, FALSE), ""))))</f>
        <v/>
      </c>
      <c r="E286" s="776"/>
      <c r="F286" s="777"/>
      <c r="G286" s="952"/>
      <c r="H286" s="728"/>
      <c r="I286" s="729"/>
      <c r="J286" s="209" t="b">
        <v>0</v>
      </c>
      <c r="K286" s="204" t="b">
        <v>0</v>
      </c>
      <c r="L286" s="17" t="str">
        <f t="shared" si="4"/>
        <v/>
      </c>
      <c r="M286" s="10"/>
      <c r="N286" s="10"/>
      <c r="O286" s="10"/>
      <c r="P286" s="10"/>
      <c r="Q286" s="10"/>
    </row>
    <row r="287" spans="3:17" ht="15" hidden="1" outlineLevel="1" thickBot="1" x14ac:dyDescent="0.35">
      <c r="C287" s="202"/>
      <c r="D287" s="775" t="str">
        <f>IF(C287 = "", "",
IF(COUNTIF($C$188:C286, C287), "VALUE INCONSISTENCY",
IF(AND(COUNTIF('General Information'!$C$406:$C$505, C287),
       INDEX('General Information'!$D$406:$D$505, MATCH(C287, 'General Information'!$C$406:$C$505, 0)) = ""),
   "VALUE INCONSISTENCY",
IFERROR(VLOOKUP(C287, ListOfSitesTable, 5, FALSE), "") &amp; " " &amp;
IFERROR(VLOOKUP(C287, ListOfSitesTable, 4, FALSE), "") &amp; " " &amp;
IFERROR(VLOOKUP(C287, ListOfSitesTable, 2, FALSE), ""))))</f>
        <v/>
      </c>
      <c r="E287" s="776"/>
      <c r="F287" s="777"/>
      <c r="G287" s="950"/>
      <c r="H287" s="909"/>
      <c r="I287" s="951"/>
      <c r="J287" s="210" t="b">
        <v>0</v>
      </c>
      <c r="K287" s="205" t="b">
        <v>0</v>
      </c>
      <c r="L287" s="17" t="str">
        <f>IF($G$184=FALSE, "",
    IF(AND($G$184=TRUE, TRIM(D287)&lt;&gt;"", TRIM(G287)&lt;&gt;"", OR(J287=TRUE, K287=TRUE)), template_label_ok,
        IF(AND($G$184=TRUE, TRIM(D287)&lt;&gt;"", TRIM(G287)&lt;&gt;"", J287=FALSE, K287=FALSE), template_label_missing_value,
            IF(AND($G$184=TRUE, TRIM(D287)&lt;&gt;"", TRIM(G287)="", J287=FALSE, K287=FALSE), template_label_missing_value,
                IF(AND($G$184=TRUE, TRIM(D287)&lt;&gt;"", TRIM(G287)="", OR(J287=TRUE, K287=TRUE)), template_label_missing_value,
                    IF(AND($G$184=TRUE, TRIM(D287)="", TRIM(G287)&lt;&gt;"", J287=FALSE, K287=FALSE), template_label_missing_value,
                        IF(AND($G$184=TRUE, TRIM(D287)="", TRIM(G287)="", OR(J287=TRUE, K287=TRUE)), template_label_missing_value,
                            IF(AND($G$184=TRUE, TRIM(D287)="", TRIM(G287)&lt;&gt;"", OR(J287=TRUE, K287=TRUE)), template_label_missing_value,
                                ""
                            )
                        )
                    )
                )
            )
        )
    )
)</f>
        <v/>
      </c>
      <c r="M287" s="10"/>
      <c r="N287" s="10"/>
      <c r="O287" s="10"/>
      <c r="P287" s="10"/>
      <c r="Q287" s="10"/>
    </row>
    <row r="288" spans="3:17" ht="15" collapsed="1" thickBot="1" x14ac:dyDescent="0.35">
      <c r="D288" s="14"/>
      <c r="E288" s="14"/>
      <c r="F288" s="14"/>
      <c r="H288" s="14"/>
      <c r="I288" s="14"/>
      <c r="J288" s="14"/>
    </row>
    <row r="289" spans="3:12" ht="15" thickBot="1" x14ac:dyDescent="0.35">
      <c r="C289" s="661" t="str">
        <f>template_label_b5_biodiversity_land_use&amp;" "&amp;template_label_from&amp;" "&amp;template_starting_date_display&amp;" "&amp;template_label_to&amp;" "&amp;template_ending_date_display&amp;" " &amp; template_label_may</f>
        <v>B5 - Biodiversité - Utilisation des terres du - au - [peut (facultatif)]</v>
      </c>
      <c r="D289" s="789"/>
      <c r="E289" s="789"/>
      <c r="F289" s="790"/>
    </row>
    <row r="290" spans="3:12" x14ac:dyDescent="0.3">
      <c r="C290" s="636">
        <v>34</v>
      </c>
      <c r="D290" s="783"/>
      <c r="E290" s="783"/>
      <c r="F290" s="784"/>
    </row>
    <row r="291" spans="3:12" x14ac:dyDescent="0.3">
      <c r="C291" s="645" t="s">
        <v>42</v>
      </c>
      <c r="D291" s="622"/>
      <c r="E291" s="622"/>
      <c r="F291" s="741"/>
    </row>
    <row r="292" spans="3:12" ht="16.95" customHeight="1" x14ac:dyDescent="0.3">
      <c r="C292" s="946" t="str">
        <f>template_label_please_select_the_unit_used_for_the_area</f>
        <v>Veuillez sélectionner l’unité utilisée pour la superficie (c.-à-d. soit en hectares, soit en m²) :</v>
      </c>
      <c r="D292" s="865"/>
      <c r="E292" s="865"/>
      <c r="F292" s="935"/>
    </row>
    <row r="293" spans="3:12" x14ac:dyDescent="0.3">
      <c r="C293" s="947"/>
      <c r="D293" s="948"/>
      <c r="E293" s="948"/>
      <c r="F293" s="949"/>
      <c r="G293" s="16" t="str">
        <f>IF(C293&lt;&gt;"", template_label_ok, IF(AND(OR(D295&lt;&gt;"", D296&lt;&gt;"", D297&lt;&gt;"", D298&lt;&gt;""), C293=""), template_label_missing_value, ""))</f>
        <v/>
      </c>
      <c r="H293" s="107"/>
      <c r="K293" s="16"/>
    </row>
    <row r="294" spans="3:12" x14ac:dyDescent="0.3">
      <c r="C294" s="108" t="str">
        <f>template_label_land_use_type</f>
        <v>Type d’affectation des terres</v>
      </c>
      <c r="D294" s="865" t="str">
        <f>template_label_area</f>
        <v>Zone</v>
      </c>
      <c r="E294" s="865"/>
      <c r="F294" s="935"/>
      <c r="G294" s="16"/>
      <c r="H294" s="107"/>
      <c r="K294" s="16"/>
    </row>
    <row r="295" spans="3:12" x14ac:dyDescent="0.3">
      <c r="C295" s="111" t="str">
        <f>template_label_total_sealed_area</f>
        <v>Surface totale imperméabilisée</v>
      </c>
      <c r="D295" s="907"/>
      <c r="E295" s="907"/>
      <c r="F295" s="908"/>
      <c r="G295" s="756" t="str">
        <f>IF(AND(G293=template_label_ok, COUNTIF(D295:F298,"&lt;&gt;")&gt;0),
    template_label_ok,
    IF(AND(G293=template_label_ok, COUNTA(D295:F298)=0),
        template_label_missing_value,
        IF(AND(G293=template_label_missing_value, COUNTIF(D295:F298,"&lt;&gt;")&gt;0),
            template_label_value_inconsistency,
            ""
        )
    )
)</f>
        <v/>
      </c>
      <c r="H295" s="110"/>
      <c r="K295" s="16"/>
    </row>
    <row r="296" spans="3:12" x14ac:dyDescent="0.3">
      <c r="C296" s="111" t="str">
        <f>template_label_total_nature_oriented_area_on_site</f>
        <v>Surface totale respectueuse de la nature sur le site</v>
      </c>
      <c r="D296" s="907"/>
      <c r="E296" s="907"/>
      <c r="F296" s="908"/>
      <c r="G296" s="756"/>
      <c r="H296" s="110"/>
      <c r="K296" s="16"/>
    </row>
    <row r="297" spans="3:12" x14ac:dyDescent="0.3">
      <c r="C297" s="111" t="str">
        <f>template_label_total_nature_oriented_area_off_site</f>
        <v>Surface totale respectueuse de la nature hors site</v>
      </c>
      <c r="D297" s="907"/>
      <c r="E297" s="907"/>
      <c r="F297" s="908"/>
      <c r="G297" s="756"/>
      <c r="H297" s="110"/>
      <c r="K297" s="16"/>
    </row>
    <row r="298" spans="3:12" ht="15" thickBot="1" x14ac:dyDescent="0.35">
      <c r="C298" s="100" t="str">
        <f>template_label_total_use_of_land</f>
        <v>Utilisation totale des terres</v>
      </c>
      <c r="D298" s="943"/>
      <c r="E298" s="943"/>
      <c r="F298" s="944"/>
      <c r="G298" s="756"/>
      <c r="H298" s="110"/>
      <c r="K298" s="16"/>
    </row>
    <row r="299" spans="3:12" ht="15" thickBot="1" x14ac:dyDescent="0.35"/>
    <row r="300" spans="3:12" x14ac:dyDescent="0.3">
      <c r="C300" s="954" t="str">
        <f>template_label_b6_water_withdrawal&amp;" "&amp;template_label_from&amp;" "&amp;template_starting_date_display&amp;" "&amp;template_label_to&amp;" "&amp;template_ending_date_display&amp;" "&amp;template_label_always_to_be_reported</f>
        <v xml:space="preserve">B6 – Prélèvements d'eau du - au - [Toujours à reporter] 
</v>
      </c>
      <c r="D300" s="955"/>
      <c r="E300" s="15"/>
      <c r="F300" s="15"/>
      <c r="G300" s="16"/>
      <c r="H300" s="16"/>
      <c r="I300" s="16"/>
      <c r="K300" s="16"/>
    </row>
    <row r="301" spans="3:12" x14ac:dyDescent="0.3">
      <c r="C301" s="645">
        <v>35</v>
      </c>
      <c r="D301" s="741"/>
      <c r="E301" s="112"/>
      <c r="F301" s="112"/>
      <c r="G301" s="16"/>
      <c r="H301" s="16"/>
      <c r="I301" s="16"/>
    </row>
    <row r="302" spans="3:12" x14ac:dyDescent="0.3">
      <c r="C302" s="645" t="s">
        <v>43</v>
      </c>
      <c r="D302" s="741"/>
      <c r="E302" s="113"/>
      <c r="F302" s="113"/>
      <c r="G302" s="16"/>
      <c r="H302" s="16"/>
      <c r="I302" s="16"/>
      <c r="K302" s="46"/>
      <c r="L302" s="46"/>
    </row>
    <row r="303" spans="3:12" ht="22.2" customHeight="1" x14ac:dyDescent="0.3">
      <c r="C303" s="89" t="str">
        <f>template_label_total_amount_of_water_withdrawn_from_all_sites</f>
        <v>Quantité totale d'eau prélevée sur tous les sites (mètres cubes m³)</v>
      </c>
      <c r="D303" s="233"/>
      <c r="E303" s="968" t="str">
        <f>IF(OR(
'Table of Contents &amp; Validation'!D30=TRUE,'Table of Contents &amp; Validation'!D29=TRUE),
IF(
    AND(
        OR(
            'General Information'!E125="Option A (Basic Module only)",
            'General Information'!E125="Option B (Basic Module and Comprehensive Module)"
        ),
        TotalAmountOfWaterWithdrawnFromAllSites=""
    ),
    "",
    IF('General Information'!E125="", "", template_label_ok)
),
IF(
    AND(
        OR(
            'General Information'!E125="Option A (Basic Module only)",
            'General Information'!E125="Option B (Basic Module and Comprehensive Module)"
        ),
        TotalAmountOfWaterWithdrawnFromAllSites=""
    ),
    template_label_missing_value,
    IF('General Information'!E125="", "", template_label_ok)
)
)</f>
        <v/>
      </c>
      <c r="F303" s="968"/>
      <c r="G303" s="16"/>
      <c r="H303" s="16"/>
      <c r="I303" s="16"/>
    </row>
    <row r="304" spans="3:12" ht="33.6" customHeight="1" thickBot="1" x14ac:dyDescent="0.35">
      <c r="C304" s="374" t="str">
        <f>template_label_amount_of_water_withdrawn_at_sites_located_in_areas_of_high_water_stress</f>
        <v>Quantité d’eau prélevée sur les sites qui se situent dans des zones exposées à un stress hydrique élevé (mètres cubes m³)</v>
      </c>
      <c r="D304" s="234"/>
      <c r="E304" s="945" t="str">
        <f>IF(OR(
'Table of Contents &amp; Validation'!D30=TRUE,'Table of Contents &amp; Validation'!D29=TRUE),
IF(
    AND(
        OR(
            'General Information'!E125="Option A (Basic Module only)",
            'General Information'!E125="Option B (Basic Module and Comprehensive Module)"
        ),
        AmountOfWaterWithdrawnAtSitesLocatedInAreasOfHighWaterStress=""
    ),
    "",
    IF('General Information'!E125="", "", template_label_ok)
),
IF(
    AND(
        OR(
            'General Information'!E125="Option A (Basic Module only)",
            'General Information'!E125="Option B (Basic Module and Comprehensive Module)"
        ),
        AmountOfWaterWithdrawnAtSitesLocatedInAreasOfHighWaterStress=""
    ),
    template_label_missing_value,
    IF('General Information'!E125="", "", template_label_ok)
)
)</f>
        <v/>
      </c>
      <c r="F304" s="945"/>
      <c r="G304" s="16"/>
      <c r="H304" s="16"/>
      <c r="I304" s="16"/>
    </row>
    <row r="305" spans="3:12" ht="15" thickBot="1" x14ac:dyDescent="0.35">
      <c r="K305" s="34"/>
    </row>
    <row r="306" spans="3:12" ht="15" thickBot="1" x14ac:dyDescent="0.35">
      <c r="C306" s="661" t="str">
        <f>template_label_b6_water_consumption&amp;" "&amp;template_label_from&amp;" "&amp;template_starting_date_display&amp;" "&amp;template_label_to&amp;" "&amp;template_ending_date_display&amp;" "&amp;template_label_if_applicable</f>
        <v>B6 - Consommation d'eau du - au - [Le cas échéant]</v>
      </c>
      <c r="D306" s="790"/>
      <c r="E306" s="15"/>
      <c r="F306" s="15"/>
    </row>
    <row r="307" spans="3:12" x14ac:dyDescent="0.3">
      <c r="C307" s="636">
        <v>36</v>
      </c>
      <c r="D307" s="784"/>
      <c r="E307" s="112"/>
      <c r="F307" s="112"/>
    </row>
    <row r="308" spans="3:12" x14ac:dyDescent="0.3">
      <c r="C308" s="645" t="s">
        <v>44</v>
      </c>
      <c r="D308" s="741"/>
      <c r="E308" s="113"/>
      <c r="F308" s="113"/>
    </row>
    <row r="309" spans="3:12" ht="50.7" customHeight="1" x14ac:dyDescent="0.3">
      <c r="C309" s="115" t="str">
        <f>template_label_does_the_undertaking_have_production_processes_in_place_which_significantly_consume_water</f>
        <v>L'entreprise a-t-elle mis en place des processus de production qui consomment beaucoup d’eau (par ex. des procédés d’énergie thermique tels que le séchage ou la production d’électricité, la production de biens, l’irrigation agricole, etc.) ?</v>
      </c>
      <c r="D309" s="144" t="b">
        <v>0</v>
      </c>
      <c r="E309" s="114"/>
      <c r="F309" s="114"/>
      <c r="G309" s="16"/>
      <c r="H309" s="16"/>
      <c r="I309" s="16"/>
    </row>
    <row r="310" spans="3:12" x14ac:dyDescent="0.3">
      <c r="C310" s="89" t="str">
        <f>template_label_water_discharge_from_undertaking_production_processes</f>
        <v>Rejet d’eau provenant des processus de production de l’entreprise (m³)</v>
      </c>
      <c r="D310" s="243"/>
      <c r="E310" s="945" t="str">
        <f>IF(
    AND(D309=TRUE, D310=""),
    template_label_missing_value,
    IF(AND(D309=TRUE, D310&lt;&gt;""),
        template_label_ok,
        ""
    )
)</f>
        <v/>
      </c>
      <c r="F310" s="945"/>
      <c r="G310" s="16"/>
      <c r="H310" s="16"/>
      <c r="I310" s="16"/>
    </row>
    <row r="311" spans="3:12" ht="21" customHeight="1" thickBot="1" x14ac:dyDescent="0.35">
      <c r="C311" s="374" t="str">
        <f>template_label_total_water_consumption</f>
        <v>Consommation totale d’eau (m³)</v>
      </c>
      <c r="D311" s="402" t="str">
        <f>IF(D310&lt;&gt;"",$D$303-$D$310,"-")</f>
        <v>-</v>
      </c>
      <c r="E311" s="116"/>
      <c r="F311" s="116"/>
    </row>
    <row r="312" spans="3:12" ht="15" thickBot="1" x14ac:dyDescent="0.35"/>
    <row r="313" spans="3:12" ht="15" thickBot="1" x14ac:dyDescent="0.35">
      <c r="C313" s="661" t="str">
        <f>template_label_b7_description_of_circular_economy_principles&amp;" "&amp;template_label_from&amp;" "&amp;template_starting_date_display&amp;" "&amp;template_label_to&amp;" "&amp;template_ending_date_display&amp;" "&amp;template_label_always_to_be_reported</f>
        <v xml:space="preserve">B7 – Description des principes de l’économie circulaire du - au - [Toujours à reporter] 
</v>
      </c>
      <c r="D313" s="789"/>
      <c r="E313" s="789"/>
      <c r="F313" s="789"/>
      <c r="G313" s="790"/>
      <c r="H313" s="16"/>
      <c r="I313" s="16"/>
    </row>
    <row r="314" spans="3:12" x14ac:dyDescent="0.3">
      <c r="C314" s="636">
        <v>37</v>
      </c>
      <c r="D314" s="783"/>
      <c r="E314" s="783"/>
      <c r="F314" s="783"/>
      <c r="G314" s="784"/>
      <c r="H314" s="117"/>
      <c r="I314" s="117"/>
    </row>
    <row r="315" spans="3:12" x14ac:dyDescent="0.3">
      <c r="C315" s="645">
        <v>94</v>
      </c>
      <c r="D315" s="622"/>
      <c r="E315" s="622"/>
      <c r="F315" s="622"/>
      <c r="G315" s="741"/>
      <c r="H315" s="118"/>
      <c r="I315" s="118"/>
    </row>
    <row r="316" spans="3:12" x14ac:dyDescent="0.3">
      <c r="C316" s="88" t="str">
        <f>template_label_undertaking_applies_circular_economy_principles</f>
        <v>L’entreprise applique les principes de l’économie circulaire</v>
      </c>
      <c r="D316" s="905"/>
      <c r="E316" s="905"/>
      <c r="F316" s="905"/>
      <c r="G316" s="906"/>
      <c r="H316" s="904" t="str">
        <f>IF(OR(
'Table of Contents &amp; Validation'!D33=TRUE,'Table of Contents &amp; Validation'!D32=TRUE),
IF(
    AND(
        OR(
            'General Information'!E125="Option A (Basic Module only)",
            'General Information'!E125="Option B (Basic Module and Comprehensive Module)"
        ),
        UndertakingAppliesCircularEconomyPrinciples=""
    ),
    "",
    IF('General Information'!E125="", "", template_label_ok)
),
IF(
    AND(
        OR(
            'General Information'!E125="Option A (Basic Module only)",
            'General Information'!E125="Option B (Basic Module and Comprehensive Module)"
        ),
        UndertakingAppliesCircularEconomyPrinciples=""
    ),
    template_label_missing_value,
    IF('General Information'!E125="", "", template_label_ok)
)
)</f>
        <v/>
      </c>
      <c r="I316" s="904"/>
      <c r="J316" s="16"/>
    </row>
    <row r="317" spans="3:12" ht="15" thickBot="1" x14ac:dyDescent="0.35">
      <c r="C317" s="103" t="str">
        <f>template_label_description_of_how_it_applies_these_principles</f>
        <v>Description de la manière dont elle applique ces principes</v>
      </c>
      <c r="D317" s="668"/>
      <c r="E317" s="668"/>
      <c r="F317" s="668"/>
      <c r="G317" s="643"/>
      <c r="H317" s="904" t="str">
        <f>IF(
    AND(D316="YES", D317=""),
    template_label_missing_value,
    IF(
        AND(D316="YES", D317&lt;&gt;""),
        template_label_ok,
        IF(
            AND(D316="NO", D317&lt;&gt;""),
            template_label_value_inconsistency,
            ""
        )
    )
)</f>
        <v/>
      </c>
      <c r="I317" s="904"/>
      <c r="J317" s="16"/>
    </row>
    <row r="318" spans="3:12" ht="15" thickBot="1" x14ac:dyDescent="0.35"/>
    <row r="319" spans="3:12" ht="15" thickBot="1" x14ac:dyDescent="0.35">
      <c r="C319" s="661" t="str">
        <f>template_label_b7_waste_generated&amp;" "&amp;template_label_from&amp;" "&amp;template_starting_date_display&amp;" "&amp;template_label_to&amp;" "&amp;template_ending_date_display&amp;" "&amp;template_label_always_to_be_reported</f>
        <v xml:space="preserve">B7 - Déchets produits du - au - [Toujours à reporter] 
</v>
      </c>
      <c r="D319" s="789"/>
      <c r="E319" s="789"/>
      <c r="F319" s="789"/>
      <c r="G319" s="789"/>
      <c r="H319" s="789"/>
      <c r="I319" s="789"/>
      <c r="J319" s="789"/>
      <c r="K319" s="789"/>
      <c r="L319" s="790"/>
    </row>
    <row r="320" spans="3:12" x14ac:dyDescent="0.3">
      <c r="C320" s="636" t="s">
        <v>45</v>
      </c>
      <c r="D320" s="783"/>
      <c r="E320" s="783"/>
      <c r="F320" s="783"/>
      <c r="G320" s="783"/>
      <c r="H320" s="783"/>
      <c r="I320" s="783"/>
      <c r="J320" s="783"/>
      <c r="K320" s="783"/>
      <c r="L320" s="784"/>
    </row>
    <row r="321" spans="3:14" x14ac:dyDescent="0.3">
      <c r="C321" s="645" t="s">
        <v>46</v>
      </c>
      <c r="D321" s="622"/>
      <c r="E321" s="622"/>
      <c r="F321" s="622"/>
      <c r="G321" s="622"/>
      <c r="H321" s="622"/>
      <c r="I321" s="622"/>
      <c r="J321" s="622"/>
      <c r="K321" s="622"/>
      <c r="L321" s="741"/>
    </row>
    <row r="322" spans="3:14" ht="49.2" customHeight="1" x14ac:dyDescent="0.3">
      <c r="C322" s="121" t="str">
        <f>template_label_row_id</f>
        <v>ID de ligne</v>
      </c>
      <c r="D322" s="865" t="str">
        <f>template_label_type_of_waste</f>
        <v>Type de déchets</v>
      </c>
      <c r="E322" s="865"/>
      <c r="F322" s="865"/>
      <c r="G322" s="815" t="str">
        <f>template_label_unit_of_measurement</f>
        <v>Unité de mesure</v>
      </c>
      <c r="H322" s="815"/>
      <c r="I322" s="815"/>
      <c r="J322" s="249" t="str">
        <f>template_label_waste_diverted_to_recycle_or_reuse</f>
        <v>Déchets destinés à être recyclés ou réutilisés</v>
      </c>
      <c r="K322" s="249" t="str">
        <f>template_label_waste_directed_to_disposal</f>
        <v>Déchets destinés à être éliminés</v>
      </c>
      <c r="L322" s="47" t="str">
        <f>template_label_total_waste_recycled_reused_and_directed_to_disposal</f>
        <v>Quantité de déchets recyclés, réutilisés et destinés à être éliminés</v>
      </c>
    </row>
    <row r="323" spans="3:14" x14ac:dyDescent="0.3">
      <c r="C323" s="199">
        <v>1</v>
      </c>
      <c r="D323" s="740"/>
      <c r="E323" s="740"/>
      <c r="F323" s="740"/>
      <c r="G323" s="734"/>
      <c r="H323" s="734"/>
      <c r="I323" s="734"/>
      <c r="J323" s="235"/>
      <c r="K323" s="235"/>
      <c r="L323" s="237" t="str">
        <f>IF(AND(D323="",J323="",K323=""),"-",SUM(J323:K323))</f>
        <v>-</v>
      </c>
      <c r="M323" s="16" t="str">
        <f>IF(OR(
'Table of Contents &amp; Validation'!D34=TRUE,'Table of Contents &amp; Validation'!D32=TRUE),
IF(
AND(
    COUNTBLANK(D323:D422)=ROWS(D323:D422),
    OR(
        'General Information'!E125="Option A (Basic Module only)",
        'General Information'!E125="Option B (Basic Module and Comprehensive Module)"
    )
),
"",
IF(D323&lt;&gt;"",
    IF(
        IFERROR(LEN(LEFT(D323,FIND("-",D323)-1)),0)=13,
        IF(
            OR(
                'General Information'!E125="Option A (Basic Module only)",
                'General Information'!E125="Option B (Basic Module and Comprehensive Module)"
            ),
            IF(
                COUNTIF(enum_ListWasteCategories,D323)&gt;0,
                template_label_error,
                IF(
                    OR(D323="",G323="",J323="",K323=""),
                    template_label_missing_value,
                    IF(
                        COUNTIF(D323:D422,D323)&gt;1,
                        template_label_value_inconsistency,
                        template_label_ok
                    )
                )
            ),
            ""
        ),
        template_label_error
    ),
""
)),
IF(
AND(
    COUNTBLANK(D323:D422)=ROWS(D323:D422),
    OR(
        'General Information'!E125="Option A (Basic Module only)",
        'General Information'!E125="Option B (Basic Module and Comprehensive Module)"
    )
),
template_label_missing_value,
IF(D323&lt;&gt;"",
    IF(
        IFERROR(LEN(LEFT(D323,FIND("-",D323)-1)),0)=13,
        IF(
            OR(
                'General Information'!E125="Option A (Basic Module only)",
                'General Information'!E125="Option B (Basic Module and Comprehensive Module)"
            ),
            IF(
                COUNTIF(enum_ListWasteCategories,D323)&gt;0,
                template_label_error,
                IF(
                    OR(D323="",G323="",J323="",K323=""),
                    template_label_missing_value,
                    IF(
                        COUNTIF(D323:D422,D323)&gt;1,
                        template_label_value_inconsistency,
                        template_label_ok
                    )
                )
            ),
            ""
        ),
        template_label_error
    ),
""
))
)</f>
        <v/>
      </c>
      <c r="N323" t="str">
        <f>template_label_type_of_waste_warning</f>
        <v xml:space="preserve">ℹ️ Veuillez sélectionner un Type de déchet (dangereux ou non dangereux) plutôt qu'une catégorie, sinon un message d'ERREUR apparaîtra."
</v>
      </c>
    </row>
    <row r="324" spans="3:14" x14ac:dyDescent="0.3">
      <c r="C324" s="199">
        <v>2</v>
      </c>
      <c r="D324" s="740"/>
      <c r="E324" s="740"/>
      <c r="F324" s="740"/>
      <c r="G324" s="956"/>
      <c r="H324" s="957"/>
      <c r="I324" s="958"/>
      <c r="J324" s="236"/>
      <c r="K324" s="236"/>
      <c r="L324" s="237" t="str">
        <f t="shared" ref="L324:L422" si="5">IF(AND(D324="",J324="",K324=""),"-",SUM(J324:K324))</f>
        <v>-</v>
      </c>
      <c r="M324" s="16" t="str">
        <f>IF(
    IFERROR(LEN(LEFT(D324,FIND("-",D324)-1)),0)=0,
    "",
    IF(
        IFERROR(LEN(LEFT(D324,FIND("-",D324)-1)),0)=13,
        IF(
            COUNTIF(enum_ListWasteCategories,D324)&gt;0,
            template_label_error,
            IF(
                AND(D324&lt;&gt;"",G324&lt;&gt;"",J324&lt;&gt;"",K324&lt;&gt;""),
                IF(COUNTIF($D$323:$D$422,D324)&gt;1,
                    template_label_value_inconsistency,
                    template_label_ok
                ),
                IF(AND(D324&lt;&gt;"",G324&lt;&gt;"",J324&lt;&gt;"",K324=""),template_label_missing_value,
                IF(AND(D324&lt;&gt;"",G324&lt;&gt;"",J324="",K324&lt;&gt;""),template_label_missing_value,
                IF(AND(D324&lt;&gt;"",G324="",J324&lt;&gt;"",K324&lt;&gt;""),template_label_missing_value,
                IF(AND(D324="",G324&lt;&gt;"",J324&lt;&gt;"",K324&lt;&gt;""),template_label_missing_value,
                IF(AND(D324&lt;&gt;"",G324&lt;&gt;"",J324="",K324=""),template_label_missing_value,
                IF(AND(D324&lt;&gt;"",G324="",J324&lt;&gt;"",K324=""),template_label_missing_value,
                IF(AND(D324&lt;&gt;"",G324="",J324="",K324&lt;&gt;""),template_label_missing_value,
                IF(AND(D324="",G324="",J324&lt;&gt;"",K324&lt;&gt;""),template_label_missing_value,
                IF(AND(D324="",G324&lt;&gt;"",J324="",K324&lt;&gt;""),template_label_missing_value,
                IF(AND(D324="",G324&lt;&gt;"",J324&lt;&gt;"",K324=""),template_label_missing_value,
                IF(AND(D324="",G324="",J324="",K324&lt;&gt;""),template_label_missing_value,
                IF(AND(D324="",G324="",J324&lt;&gt;"",K324=""),template_label_missing_value,
                IF(AND(D324="",G324&lt;&gt;"",J324="",K324=""),template_label_missing_value,
                IF(AND(D324&lt;&gt;"",G324="",J324="",K324=""),template_label_missing_value,
                "")))))))))))))))),
        template_label_error
    )
)</f>
        <v/>
      </c>
    </row>
    <row r="325" spans="3:14" ht="15" thickBot="1" x14ac:dyDescent="0.35">
      <c r="C325" s="201">
        <v>3</v>
      </c>
      <c r="D325" s="911"/>
      <c r="E325" s="911"/>
      <c r="F325" s="911"/>
      <c r="G325" s="912"/>
      <c r="H325" s="912"/>
      <c r="I325" s="912"/>
      <c r="J325" s="238"/>
      <c r="K325" s="238"/>
      <c r="L325" s="239" t="str">
        <f>IF(AND(D325="",J325="",K325=""),"-",SUM(J325:K325))</f>
        <v>-</v>
      </c>
      <c r="M325" s="16" t="str">
        <f t="shared" ref="M325:M355" si="6">IF(
    IFERROR(LEN(LEFT(D325,FIND("-",D325)-1)),0)=0,
    "",
    IF(
        IFERROR(LEN(LEFT(D325,FIND("-",D325)-1)),0)=13,
        IF(
            COUNTIF(enum_ListWasteCategories,D325)&gt;0,
            template_label_error,
            IF(
                AND(D325&lt;&gt;"",G325&lt;&gt;"",J325&lt;&gt;"",K325&lt;&gt;""),
                IF(COUNTIF($D$323:$D$422,D325)&gt;1,
                    template_label_value_inconsistency,
                    template_label_ok
                ),
                IF(AND(D325&lt;&gt;"",G325&lt;&gt;"",J325&lt;&gt;"",K325=""),template_label_missing_value,
                IF(AND(D325&lt;&gt;"",G325&lt;&gt;"",J325="",K325&lt;&gt;""),template_label_missing_value,
                IF(AND(D325&lt;&gt;"",G325="",J325&lt;&gt;"",K325&lt;&gt;""),template_label_missing_value,
                IF(AND(D325="",G325&lt;&gt;"",J325&lt;&gt;"",K325&lt;&gt;""),template_label_missing_value,
                IF(AND(D325&lt;&gt;"",G325&lt;&gt;"",J325="",K325=""),template_label_missing_value,
                IF(AND(D325&lt;&gt;"",G325="",J325&lt;&gt;"",K325=""),template_label_missing_value,
                IF(AND(D325&lt;&gt;"",G325="",J325="",K325&lt;&gt;""),template_label_missing_value,
                IF(AND(D325="",G325="",J325&lt;&gt;"",K325&lt;&gt;""),template_label_missing_value,
                IF(AND(D325="",G325&lt;&gt;"",J325="",K325&lt;&gt;""),template_label_missing_value,
                IF(AND(D325="",G325&lt;&gt;"",J325&lt;&gt;"",K325=""),template_label_missing_value,
                IF(AND(D325="",G325="",J325="",K325&lt;&gt;""),template_label_missing_value,
                IF(AND(D325="",G325="",J325&lt;&gt;"",K325=""),template_label_missing_value,
                IF(AND(D325="",G325&lt;&gt;"",J325="",K325=""),template_label_missing_value,
                IF(AND(D325&lt;&gt;"",G325="",J325="",K325=""),template_label_missing_value,
                "")))))))))))))))),
        template_label_error
    )
)</f>
        <v/>
      </c>
      <c r="N325" t="str">
        <f>template_label_additional_rows_warning</f>
        <v>ℹ️Les listes peuvent être déroulées à l’aide du bouton plus [+] situé à gauche. Si le nombre de lignes n’est pas suffisant, des lignes supplémentaires peuvent être ajoutées en cliquant avec le bouton droit sur la deuxième ligne et en sélectionnant « Insérer une ligne ».</v>
      </c>
    </row>
    <row r="326" spans="3:14" hidden="1" outlineLevel="1" x14ac:dyDescent="0.3">
      <c r="C326" s="314">
        <v>4</v>
      </c>
      <c r="D326" s="913"/>
      <c r="E326" s="913"/>
      <c r="F326" s="913"/>
      <c r="G326" s="953"/>
      <c r="H326" s="953"/>
      <c r="I326" s="953"/>
      <c r="J326" s="240"/>
      <c r="K326" s="240"/>
      <c r="L326" s="241" t="str">
        <f t="shared" si="5"/>
        <v>-</v>
      </c>
      <c r="M326" s="16" t="str">
        <f t="shared" si="6"/>
        <v/>
      </c>
    </row>
    <row r="327" spans="3:14" hidden="1" outlineLevel="1" x14ac:dyDescent="0.3">
      <c r="C327" s="315">
        <v>5</v>
      </c>
      <c r="D327" s="740"/>
      <c r="E327" s="740"/>
      <c r="F327" s="740"/>
      <c r="G327" s="734"/>
      <c r="H327" s="734"/>
      <c r="I327" s="734"/>
      <c r="J327" s="236"/>
      <c r="K327" s="236"/>
      <c r="L327" s="237" t="str">
        <f t="shared" si="5"/>
        <v>-</v>
      </c>
      <c r="M327" s="16" t="str">
        <f t="shared" si="6"/>
        <v/>
      </c>
    </row>
    <row r="328" spans="3:14" hidden="1" outlineLevel="1" x14ac:dyDescent="0.3">
      <c r="C328" s="315">
        <v>6</v>
      </c>
      <c r="D328" s="740"/>
      <c r="E328" s="740"/>
      <c r="F328" s="740"/>
      <c r="G328" s="734"/>
      <c r="H328" s="734"/>
      <c r="I328" s="734"/>
      <c r="J328" s="236"/>
      <c r="K328" s="236"/>
      <c r="L328" s="237" t="str">
        <f>IF(AND(D328="",J328="",K328=""),"-",SUM(J328:K328))</f>
        <v>-</v>
      </c>
      <c r="M328" s="16" t="str">
        <f t="shared" si="6"/>
        <v/>
      </c>
    </row>
    <row r="329" spans="3:14" hidden="1" outlineLevel="1" x14ac:dyDescent="0.3">
      <c r="C329" s="315">
        <v>7</v>
      </c>
      <c r="D329" s="740"/>
      <c r="E329" s="740"/>
      <c r="F329" s="740"/>
      <c r="G329" s="734"/>
      <c r="H329" s="734"/>
      <c r="I329" s="734"/>
      <c r="J329" s="236"/>
      <c r="K329" s="236"/>
      <c r="L329" s="237" t="str">
        <f>IF(AND(D329="",J329="",K329=""),"-",SUM(J329:K329))</f>
        <v>-</v>
      </c>
      <c r="M329" s="16" t="str">
        <f t="shared" si="6"/>
        <v/>
      </c>
    </row>
    <row r="330" spans="3:14" hidden="1" outlineLevel="1" x14ac:dyDescent="0.3">
      <c r="C330" s="315">
        <v>8</v>
      </c>
      <c r="D330" s="740"/>
      <c r="E330" s="740"/>
      <c r="F330" s="740"/>
      <c r="G330" s="734"/>
      <c r="H330" s="734"/>
      <c r="I330" s="734"/>
      <c r="J330" s="236"/>
      <c r="K330" s="236"/>
      <c r="L330" s="237" t="str">
        <f t="shared" si="5"/>
        <v>-</v>
      </c>
      <c r="M330" s="16" t="str">
        <f t="shared" si="6"/>
        <v/>
      </c>
    </row>
    <row r="331" spans="3:14" hidden="1" outlineLevel="1" x14ac:dyDescent="0.3">
      <c r="C331" s="315">
        <v>9</v>
      </c>
      <c r="D331" s="740"/>
      <c r="E331" s="740"/>
      <c r="F331" s="740"/>
      <c r="G331" s="734"/>
      <c r="H331" s="734"/>
      <c r="I331" s="734"/>
      <c r="J331" s="236"/>
      <c r="K331" s="236"/>
      <c r="L331" s="237" t="str">
        <f t="shared" si="5"/>
        <v>-</v>
      </c>
      <c r="M331" s="16" t="str">
        <f t="shared" si="6"/>
        <v/>
      </c>
    </row>
    <row r="332" spans="3:14" hidden="1" outlineLevel="1" x14ac:dyDescent="0.3">
      <c r="C332" s="315">
        <v>10</v>
      </c>
      <c r="D332" s="740"/>
      <c r="E332" s="740"/>
      <c r="F332" s="740"/>
      <c r="G332" s="734"/>
      <c r="H332" s="734"/>
      <c r="I332" s="734"/>
      <c r="J332" s="236"/>
      <c r="K332" s="236"/>
      <c r="L332" s="237" t="str">
        <f t="shared" si="5"/>
        <v>-</v>
      </c>
      <c r="M332" s="16" t="str">
        <f t="shared" si="6"/>
        <v/>
      </c>
    </row>
    <row r="333" spans="3:14" hidden="1" outlineLevel="1" x14ac:dyDescent="0.3">
      <c r="C333" s="315">
        <v>11</v>
      </c>
      <c r="D333" s="740"/>
      <c r="E333" s="740"/>
      <c r="F333" s="740"/>
      <c r="G333" s="734"/>
      <c r="H333" s="734"/>
      <c r="I333" s="734"/>
      <c r="J333" s="236"/>
      <c r="K333" s="236"/>
      <c r="L333" s="237" t="str">
        <f t="shared" si="5"/>
        <v>-</v>
      </c>
      <c r="M333" s="16" t="str">
        <f t="shared" si="6"/>
        <v/>
      </c>
    </row>
    <row r="334" spans="3:14" hidden="1" outlineLevel="1" x14ac:dyDescent="0.3">
      <c r="C334" s="315">
        <v>12</v>
      </c>
      <c r="D334" s="740"/>
      <c r="E334" s="740"/>
      <c r="F334" s="740"/>
      <c r="G334" s="734"/>
      <c r="H334" s="734"/>
      <c r="I334" s="734"/>
      <c r="J334" s="236"/>
      <c r="K334" s="236"/>
      <c r="L334" s="237" t="str">
        <f t="shared" si="5"/>
        <v>-</v>
      </c>
      <c r="M334" s="16" t="str">
        <f t="shared" si="6"/>
        <v/>
      </c>
    </row>
    <row r="335" spans="3:14" hidden="1" outlineLevel="1" x14ac:dyDescent="0.3">
      <c r="C335" s="315">
        <v>13</v>
      </c>
      <c r="D335" s="740"/>
      <c r="E335" s="740"/>
      <c r="F335" s="740"/>
      <c r="G335" s="734"/>
      <c r="H335" s="734"/>
      <c r="I335" s="734"/>
      <c r="J335" s="236"/>
      <c r="K335" s="236"/>
      <c r="L335" s="237" t="str">
        <f t="shared" si="5"/>
        <v>-</v>
      </c>
      <c r="M335" s="16" t="str">
        <f t="shared" si="6"/>
        <v/>
      </c>
    </row>
    <row r="336" spans="3:14" hidden="1" outlineLevel="1" x14ac:dyDescent="0.3">
      <c r="C336" s="315">
        <v>14</v>
      </c>
      <c r="D336" s="740"/>
      <c r="E336" s="740"/>
      <c r="F336" s="740"/>
      <c r="G336" s="734"/>
      <c r="H336" s="734"/>
      <c r="I336" s="734"/>
      <c r="J336" s="236"/>
      <c r="K336" s="236"/>
      <c r="L336" s="237" t="str">
        <f t="shared" si="5"/>
        <v>-</v>
      </c>
      <c r="M336" s="16" t="str">
        <f t="shared" si="6"/>
        <v/>
      </c>
    </row>
    <row r="337" spans="3:13" hidden="1" outlineLevel="1" x14ac:dyDescent="0.3">
      <c r="C337" s="315">
        <v>15</v>
      </c>
      <c r="D337" s="740"/>
      <c r="E337" s="740"/>
      <c r="F337" s="740"/>
      <c r="G337" s="734"/>
      <c r="H337" s="734"/>
      <c r="I337" s="734"/>
      <c r="J337" s="351"/>
      <c r="K337" s="351"/>
      <c r="L337" s="237" t="str">
        <f t="shared" si="5"/>
        <v>-</v>
      </c>
      <c r="M337" s="16" t="str">
        <f t="shared" si="6"/>
        <v/>
      </c>
    </row>
    <row r="338" spans="3:13" hidden="1" outlineLevel="1" x14ac:dyDescent="0.3">
      <c r="C338" s="315">
        <v>16</v>
      </c>
      <c r="D338" s="740"/>
      <c r="E338" s="740"/>
      <c r="F338" s="740"/>
      <c r="G338" s="734"/>
      <c r="H338" s="734"/>
      <c r="I338" s="734"/>
      <c r="J338" s="351"/>
      <c r="K338" s="351"/>
      <c r="L338" s="237" t="str">
        <f t="shared" si="5"/>
        <v>-</v>
      </c>
      <c r="M338" s="16" t="str">
        <f t="shared" si="6"/>
        <v/>
      </c>
    </row>
    <row r="339" spans="3:13" hidden="1" outlineLevel="1" x14ac:dyDescent="0.3">
      <c r="C339" s="315">
        <v>17</v>
      </c>
      <c r="D339" s="740"/>
      <c r="E339" s="740"/>
      <c r="F339" s="740"/>
      <c r="G339" s="734"/>
      <c r="H339" s="734"/>
      <c r="I339" s="734"/>
      <c r="J339" s="351"/>
      <c r="K339" s="351"/>
      <c r="L339" s="237" t="str">
        <f t="shared" si="5"/>
        <v>-</v>
      </c>
      <c r="M339" s="16" t="str">
        <f t="shared" si="6"/>
        <v/>
      </c>
    </row>
    <row r="340" spans="3:13" hidden="1" outlineLevel="1" x14ac:dyDescent="0.3">
      <c r="C340" s="315">
        <v>18</v>
      </c>
      <c r="D340" s="740"/>
      <c r="E340" s="740"/>
      <c r="F340" s="740"/>
      <c r="G340" s="734"/>
      <c r="H340" s="734"/>
      <c r="I340" s="734"/>
      <c r="J340" s="351"/>
      <c r="K340" s="351"/>
      <c r="L340" s="237" t="str">
        <f t="shared" si="5"/>
        <v>-</v>
      </c>
      <c r="M340" s="16" t="str">
        <f t="shared" si="6"/>
        <v/>
      </c>
    </row>
    <row r="341" spans="3:13" hidden="1" outlineLevel="1" x14ac:dyDescent="0.3">
      <c r="C341" s="315">
        <v>19</v>
      </c>
      <c r="D341" s="740"/>
      <c r="E341" s="740"/>
      <c r="F341" s="740"/>
      <c r="G341" s="734"/>
      <c r="H341" s="734"/>
      <c r="I341" s="734"/>
      <c r="J341" s="351"/>
      <c r="K341" s="351"/>
      <c r="L341" s="237" t="str">
        <f t="shared" si="5"/>
        <v>-</v>
      </c>
      <c r="M341" s="16" t="str">
        <f t="shared" si="6"/>
        <v/>
      </c>
    </row>
    <row r="342" spans="3:13" hidden="1" outlineLevel="1" x14ac:dyDescent="0.3">
      <c r="C342" s="315">
        <v>20</v>
      </c>
      <c r="D342" s="740"/>
      <c r="E342" s="740"/>
      <c r="F342" s="740"/>
      <c r="G342" s="734"/>
      <c r="H342" s="734"/>
      <c r="I342" s="734"/>
      <c r="J342" s="351"/>
      <c r="K342" s="351"/>
      <c r="L342" s="237" t="str">
        <f t="shared" si="5"/>
        <v>-</v>
      </c>
      <c r="M342" s="16" t="str">
        <f t="shared" si="6"/>
        <v/>
      </c>
    </row>
    <row r="343" spans="3:13" hidden="1" outlineLevel="1" x14ac:dyDescent="0.3">
      <c r="C343" s="315">
        <v>21</v>
      </c>
      <c r="D343" s="740"/>
      <c r="E343" s="740"/>
      <c r="F343" s="740"/>
      <c r="G343" s="734"/>
      <c r="H343" s="734"/>
      <c r="I343" s="734"/>
      <c r="J343" s="351"/>
      <c r="K343" s="351"/>
      <c r="L343" s="237" t="str">
        <f t="shared" si="5"/>
        <v>-</v>
      </c>
      <c r="M343" s="16" t="str">
        <f t="shared" si="6"/>
        <v/>
      </c>
    </row>
    <row r="344" spans="3:13" hidden="1" outlineLevel="1" x14ac:dyDescent="0.3">
      <c r="C344" s="315">
        <v>22</v>
      </c>
      <c r="D344" s="740"/>
      <c r="E344" s="740"/>
      <c r="F344" s="740"/>
      <c r="G344" s="734"/>
      <c r="H344" s="734"/>
      <c r="I344" s="734"/>
      <c r="J344" s="351"/>
      <c r="K344" s="351"/>
      <c r="L344" s="237" t="str">
        <f t="shared" si="5"/>
        <v>-</v>
      </c>
      <c r="M344" s="16" t="str">
        <f t="shared" si="6"/>
        <v/>
      </c>
    </row>
    <row r="345" spans="3:13" hidden="1" outlineLevel="1" x14ac:dyDescent="0.3">
      <c r="C345" s="315">
        <v>23</v>
      </c>
      <c r="D345" s="740"/>
      <c r="E345" s="740"/>
      <c r="F345" s="740"/>
      <c r="G345" s="734"/>
      <c r="H345" s="734"/>
      <c r="I345" s="734"/>
      <c r="J345" s="351"/>
      <c r="K345" s="351"/>
      <c r="L345" s="237" t="str">
        <f t="shared" si="5"/>
        <v>-</v>
      </c>
      <c r="M345" s="16" t="str">
        <f t="shared" si="6"/>
        <v/>
      </c>
    </row>
    <row r="346" spans="3:13" hidden="1" outlineLevel="1" x14ac:dyDescent="0.3">
      <c r="C346" s="315">
        <v>24</v>
      </c>
      <c r="D346" s="740"/>
      <c r="E346" s="740"/>
      <c r="F346" s="740"/>
      <c r="G346" s="734"/>
      <c r="H346" s="734"/>
      <c r="I346" s="734"/>
      <c r="J346" s="351"/>
      <c r="K346" s="351"/>
      <c r="L346" s="237" t="str">
        <f t="shared" si="5"/>
        <v>-</v>
      </c>
      <c r="M346" s="16" t="str">
        <f t="shared" si="6"/>
        <v/>
      </c>
    </row>
    <row r="347" spans="3:13" hidden="1" outlineLevel="1" x14ac:dyDescent="0.3">
      <c r="C347" s="315">
        <v>25</v>
      </c>
      <c r="D347" s="740"/>
      <c r="E347" s="740"/>
      <c r="F347" s="740"/>
      <c r="G347" s="734"/>
      <c r="H347" s="734"/>
      <c r="I347" s="734"/>
      <c r="J347" s="351"/>
      <c r="K347" s="351"/>
      <c r="L347" s="237" t="str">
        <f t="shared" si="5"/>
        <v>-</v>
      </c>
      <c r="M347" s="16" t="str">
        <f t="shared" si="6"/>
        <v/>
      </c>
    </row>
    <row r="348" spans="3:13" hidden="1" outlineLevel="1" x14ac:dyDescent="0.3">
      <c r="C348" s="315">
        <v>26</v>
      </c>
      <c r="D348" s="740"/>
      <c r="E348" s="740"/>
      <c r="F348" s="740"/>
      <c r="G348" s="734"/>
      <c r="H348" s="734"/>
      <c r="I348" s="734"/>
      <c r="J348" s="351"/>
      <c r="K348" s="351"/>
      <c r="L348" s="237" t="str">
        <f t="shared" si="5"/>
        <v>-</v>
      </c>
      <c r="M348" s="16" t="str">
        <f t="shared" si="6"/>
        <v/>
      </c>
    </row>
    <row r="349" spans="3:13" hidden="1" outlineLevel="1" x14ac:dyDescent="0.3">
      <c r="C349" s="315">
        <v>27</v>
      </c>
      <c r="D349" s="740"/>
      <c r="E349" s="740"/>
      <c r="F349" s="740"/>
      <c r="G349" s="734"/>
      <c r="H349" s="734"/>
      <c r="I349" s="734"/>
      <c r="J349" s="351"/>
      <c r="K349" s="351"/>
      <c r="L349" s="237" t="str">
        <f t="shared" si="5"/>
        <v>-</v>
      </c>
      <c r="M349" s="16" t="str">
        <f t="shared" si="6"/>
        <v/>
      </c>
    </row>
    <row r="350" spans="3:13" hidden="1" outlineLevel="1" x14ac:dyDescent="0.3">
      <c r="C350" s="315">
        <v>28</v>
      </c>
      <c r="D350" s="740"/>
      <c r="E350" s="740"/>
      <c r="F350" s="740"/>
      <c r="G350" s="734"/>
      <c r="H350" s="734"/>
      <c r="I350" s="734"/>
      <c r="J350" s="351"/>
      <c r="K350" s="351"/>
      <c r="L350" s="237" t="str">
        <f t="shared" si="5"/>
        <v>-</v>
      </c>
      <c r="M350" s="16" t="str">
        <f t="shared" si="6"/>
        <v/>
      </c>
    </row>
    <row r="351" spans="3:13" hidden="1" outlineLevel="1" x14ac:dyDescent="0.3">
      <c r="C351" s="315">
        <v>29</v>
      </c>
      <c r="D351" s="740"/>
      <c r="E351" s="740"/>
      <c r="F351" s="740"/>
      <c r="G351" s="734"/>
      <c r="H351" s="734"/>
      <c r="I351" s="734"/>
      <c r="J351" s="351"/>
      <c r="K351" s="351"/>
      <c r="L351" s="237" t="str">
        <f t="shared" si="5"/>
        <v>-</v>
      </c>
      <c r="M351" s="16" t="str">
        <f t="shared" si="6"/>
        <v/>
      </c>
    </row>
    <row r="352" spans="3:13" hidden="1" outlineLevel="1" x14ac:dyDescent="0.3">
      <c r="C352" s="315">
        <v>30</v>
      </c>
      <c r="D352" s="740"/>
      <c r="E352" s="740"/>
      <c r="F352" s="740"/>
      <c r="G352" s="734"/>
      <c r="H352" s="734"/>
      <c r="I352" s="734"/>
      <c r="J352" s="351"/>
      <c r="K352" s="351"/>
      <c r="L352" s="237" t="str">
        <f t="shared" si="5"/>
        <v>-</v>
      </c>
      <c r="M352" s="16" t="str">
        <f t="shared" si="6"/>
        <v/>
      </c>
    </row>
    <row r="353" spans="3:13" hidden="1" outlineLevel="1" x14ac:dyDescent="0.3">
      <c r="C353" s="315">
        <v>31</v>
      </c>
      <c r="D353" s="740"/>
      <c r="E353" s="740"/>
      <c r="F353" s="740"/>
      <c r="G353" s="734"/>
      <c r="H353" s="734"/>
      <c r="I353" s="734"/>
      <c r="J353" s="351"/>
      <c r="K353" s="351"/>
      <c r="L353" s="237" t="str">
        <f t="shared" si="5"/>
        <v>-</v>
      </c>
      <c r="M353" s="16" t="str">
        <f t="shared" si="6"/>
        <v/>
      </c>
    </row>
    <row r="354" spans="3:13" hidden="1" outlineLevel="1" x14ac:dyDescent="0.3">
      <c r="C354" s="315">
        <v>32</v>
      </c>
      <c r="D354" s="740"/>
      <c r="E354" s="740"/>
      <c r="F354" s="740"/>
      <c r="G354" s="734"/>
      <c r="H354" s="734"/>
      <c r="I354" s="734"/>
      <c r="J354" s="351"/>
      <c r="K354" s="351"/>
      <c r="L354" s="237" t="str">
        <f t="shared" si="5"/>
        <v>-</v>
      </c>
      <c r="M354" s="16" t="str">
        <f t="shared" si="6"/>
        <v/>
      </c>
    </row>
    <row r="355" spans="3:13" hidden="1" outlineLevel="1" x14ac:dyDescent="0.3">
      <c r="C355" s="315">
        <v>33</v>
      </c>
      <c r="D355" s="740"/>
      <c r="E355" s="740"/>
      <c r="F355" s="740"/>
      <c r="G355" s="734"/>
      <c r="H355" s="734"/>
      <c r="I355" s="734"/>
      <c r="J355" s="351"/>
      <c r="K355" s="351"/>
      <c r="L355" s="237" t="str">
        <f t="shared" si="5"/>
        <v>-</v>
      </c>
      <c r="M355" s="16" t="str">
        <f t="shared" si="6"/>
        <v/>
      </c>
    </row>
    <row r="356" spans="3:13" hidden="1" outlineLevel="1" x14ac:dyDescent="0.3">
      <c r="C356" s="315">
        <v>34</v>
      </c>
      <c r="D356" s="740"/>
      <c r="E356" s="740"/>
      <c r="F356" s="740"/>
      <c r="G356" s="734"/>
      <c r="H356" s="734"/>
      <c r="I356" s="734"/>
      <c r="J356" s="351"/>
      <c r="K356" s="351"/>
      <c r="L356" s="237" t="str">
        <f t="shared" si="5"/>
        <v>-</v>
      </c>
      <c r="M356" s="16" t="str">
        <f t="shared" ref="M356:M387" si="7">IF(
    IFERROR(LEN(LEFT(D356,FIND("-",D356)-1)),0)=0,
    "",
    IF(
        IFERROR(LEN(LEFT(D356,FIND("-",D356)-1)),0)=13,
        IF(
            COUNTIF(enum_ListWasteCategories,D356)&gt;0,
            template_label_error,
            IF(
                AND(D356&lt;&gt;"",G356&lt;&gt;"",J356&lt;&gt;"",K356&lt;&gt;""),
                IF(COUNTIF($D$323:$D$422,D356)&gt;1,
                    template_label_value_inconsistency,
                    template_label_ok
                ),
                IF(AND(D356&lt;&gt;"",G356&lt;&gt;"",J356&lt;&gt;"",K356=""),template_label_missing_value,
                IF(AND(D356&lt;&gt;"",G356&lt;&gt;"",J356="",K356&lt;&gt;""),template_label_missing_value,
                IF(AND(D356&lt;&gt;"",G356="",J356&lt;&gt;"",K356&lt;&gt;""),template_label_missing_value,
                IF(AND(D356="",G356&lt;&gt;"",J356&lt;&gt;"",K356&lt;&gt;""),template_label_missing_value,
                IF(AND(D356&lt;&gt;"",G356&lt;&gt;"",J356="",K356=""),template_label_missing_value,
                IF(AND(D356&lt;&gt;"",G356="",J356&lt;&gt;"",K356=""),template_label_missing_value,
                IF(AND(D356&lt;&gt;"",G356="",J356="",K356&lt;&gt;""),template_label_missing_value,
                IF(AND(D356="",G356="",J356&lt;&gt;"",K356&lt;&gt;""),template_label_missing_value,
                IF(AND(D356="",G356&lt;&gt;"",J356="",K356&lt;&gt;""),template_label_missing_value,
                IF(AND(D356="",G356&lt;&gt;"",J356&lt;&gt;"",K356=""),template_label_missing_value,
                IF(AND(D356="",G356="",J356="",K356&lt;&gt;""),template_label_missing_value,
                IF(AND(D356="",G356="",J356&lt;&gt;"",K356=""),template_label_missing_value,
                IF(AND(D356="",G356&lt;&gt;"",J356="",K356=""),template_label_missing_value,
                IF(AND(D356&lt;&gt;"",G356="",J356="",K356=""),template_label_missing_value,
                "")))))))))))))))),
        template_label_error
    )
)</f>
        <v/>
      </c>
    </row>
    <row r="357" spans="3:13" hidden="1" outlineLevel="1" x14ac:dyDescent="0.3">
      <c r="C357" s="315">
        <v>35</v>
      </c>
      <c r="D357" s="740"/>
      <c r="E357" s="740"/>
      <c r="F357" s="740"/>
      <c r="G357" s="734"/>
      <c r="H357" s="734"/>
      <c r="I357" s="734"/>
      <c r="J357" s="351"/>
      <c r="K357" s="351"/>
      <c r="L357" s="237" t="str">
        <f t="shared" si="5"/>
        <v>-</v>
      </c>
      <c r="M357" s="16" t="str">
        <f t="shared" si="7"/>
        <v/>
      </c>
    </row>
    <row r="358" spans="3:13" hidden="1" outlineLevel="1" x14ac:dyDescent="0.3">
      <c r="C358" s="315">
        <v>36</v>
      </c>
      <c r="D358" s="740"/>
      <c r="E358" s="740"/>
      <c r="F358" s="740"/>
      <c r="G358" s="734"/>
      <c r="H358" s="734"/>
      <c r="I358" s="734"/>
      <c r="J358" s="351"/>
      <c r="K358" s="351"/>
      <c r="L358" s="237" t="str">
        <f t="shared" si="5"/>
        <v>-</v>
      </c>
      <c r="M358" s="16" t="str">
        <f t="shared" si="7"/>
        <v/>
      </c>
    </row>
    <row r="359" spans="3:13" hidden="1" outlineLevel="1" x14ac:dyDescent="0.3">
      <c r="C359" s="315">
        <v>37</v>
      </c>
      <c r="D359" s="740"/>
      <c r="E359" s="740"/>
      <c r="F359" s="740"/>
      <c r="G359" s="734"/>
      <c r="H359" s="734"/>
      <c r="I359" s="734"/>
      <c r="J359" s="351"/>
      <c r="K359" s="351"/>
      <c r="L359" s="237" t="str">
        <f t="shared" si="5"/>
        <v>-</v>
      </c>
      <c r="M359" s="16" t="str">
        <f t="shared" si="7"/>
        <v/>
      </c>
    </row>
    <row r="360" spans="3:13" hidden="1" outlineLevel="1" x14ac:dyDescent="0.3">
      <c r="C360" s="315">
        <v>38</v>
      </c>
      <c r="D360" s="740"/>
      <c r="E360" s="740"/>
      <c r="F360" s="740"/>
      <c r="G360" s="734"/>
      <c r="H360" s="734"/>
      <c r="I360" s="734"/>
      <c r="J360" s="351"/>
      <c r="K360" s="351"/>
      <c r="L360" s="237" t="str">
        <f t="shared" si="5"/>
        <v>-</v>
      </c>
      <c r="M360" s="16" t="str">
        <f t="shared" si="7"/>
        <v/>
      </c>
    </row>
    <row r="361" spans="3:13" hidden="1" outlineLevel="1" x14ac:dyDescent="0.3">
      <c r="C361" s="315">
        <v>39</v>
      </c>
      <c r="D361" s="740"/>
      <c r="E361" s="740"/>
      <c r="F361" s="740"/>
      <c r="G361" s="734"/>
      <c r="H361" s="734"/>
      <c r="I361" s="734"/>
      <c r="J361" s="351"/>
      <c r="K361" s="351"/>
      <c r="L361" s="237" t="str">
        <f t="shared" si="5"/>
        <v>-</v>
      </c>
      <c r="M361" s="16" t="str">
        <f t="shared" si="7"/>
        <v/>
      </c>
    </row>
    <row r="362" spans="3:13" hidden="1" outlineLevel="1" x14ac:dyDescent="0.3">
      <c r="C362" s="315">
        <v>40</v>
      </c>
      <c r="D362" s="740"/>
      <c r="E362" s="740"/>
      <c r="F362" s="740"/>
      <c r="G362" s="734"/>
      <c r="H362" s="734"/>
      <c r="I362" s="734"/>
      <c r="J362" s="351"/>
      <c r="K362" s="351"/>
      <c r="L362" s="237" t="str">
        <f t="shared" si="5"/>
        <v>-</v>
      </c>
      <c r="M362" s="16" t="str">
        <f t="shared" si="7"/>
        <v/>
      </c>
    </row>
    <row r="363" spans="3:13" hidden="1" outlineLevel="1" x14ac:dyDescent="0.3">
      <c r="C363" s="315">
        <v>41</v>
      </c>
      <c r="D363" s="740"/>
      <c r="E363" s="740"/>
      <c r="F363" s="740"/>
      <c r="G363" s="734"/>
      <c r="H363" s="734"/>
      <c r="I363" s="734"/>
      <c r="J363" s="351"/>
      <c r="K363" s="351"/>
      <c r="L363" s="237" t="str">
        <f t="shared" si="5"/>
        <v>-</v>
      </c>
      <c r="M363" s="16" t="str">
        <f t="shared" si="7"/>
        <v/>
      </c>
    </row>
    <row r="364" spans="3:13" hidden="1" outlineLevel="1" x14ac:dyDescent="0.3">
      <c r="C364" s="315">
        <v>42</v>
      </c>
      <c r="D364" s="740"/>
      <c r="E364" s="740"/>
      <c r="F364" s="740"/>
      <c r="G364" s="734"/>
      <c r="H364" s="734"/>
      <c r="I364" s="734"/>
      <c r="J364" s="351"/>
      <c r="K364" s="351"/>
      <c r="L364" s="237" t="str">
        <f t="shared" si="5"/>
        <v>-</v>
      </c>
      <c r="M364" s="16" t="str">
        <f t="shared" si="7"/>
        <v/>
      </c>
    </row>
    <row r="365" spans="3:13" hidden="1" outlineLevel="1" x14ac:dyDescent="0.3">
      <c r="C365" s="315">
        <v>43</v>
      </c>
      <c r="D365" s="740"/>
      <c r="E365" s="740"/>
      <c r="F365" s="740"/>
      <c r="G365" s="734"/>
      <c r="H365" s="734"/>
      <c r="I365" s="734"/>
      <c r="J365" s="351"/>
      <c r="K365" s="351"/>
      <c r="L365" s="237" t="str">
        <f t="shared" si="5"/>
        <v>-</v>
      </c>
      <c r="M365" s="16" t="str">
        <f t="shared" si="7"/>
        <v/>
      </c>
    </row>
    <row r="366" spans="3:13" hidden="1" outlineLevel="1" x14ac:dyDescent="0.3">
      <c r="C366" s="315">
        <v>44</v>
      </c>
      <c r="D366" s="740"/>
      <c r="E366" s="740"/>
      <c r="F366" s="740"/>
      <c r="G366" s="734"/>
      <c r="H366" s="734"/>
      <c r="I366" s="734"/>
      <c r="J366" s="351"/>
      <c r="K366" s="351"/>
      <c r="L366" s="237" t="str">
        <f t="shared" si="5"/>
        <v>-</v>
      </c>
      <c r="M366" s="16" t="str">
        <f t="shared" si="7"/>
        <v/>
      </c>
    </row>
    <row r="367" spans="3:13" hidden="1" outlineLevel="1" x14ac:dyDescent="0.3">
      <c r="C367" s="315">
        <v>45</v>
      </c>
      <c r="D367" s="740"/>
      <c r="E367" s="740"/>
      <c r="F367" s="740"/>
      <c r="G367" s="734"/>
      <c r="H367" s="734"/>
      <c r="I367" s="734"/>
      <c r="J367" s="351"/>
      <c r="K367" s="351"/>
      <c r="L367" s="237" t="str">
        <f t="shared" si="5"/>
        <v>-</v>
      </c>
      <c r="M367" s="16" t="str">
        <f t="shared" si="7"/>
        <v/>
      </c>
    </row>
    <row r="368" spans="3:13" hidden="1" outlineLevel="1" x14ac:dyDescent="0.3">
      <c r="C368" s="315">
        <v>46</v>
      </c>
      <c r="D368" s="740"/>
      <c r="E368" s="740"/>
      <c r="F368" s="740"/>
      <c r="G368" s="734"/>
      <c r="H368" s="734"/>
      <c r="I368" s="734"/>
      <c r="J368" s="351"/>
      <c r="K368" s="351"/>
      <c r="L368" s="237" t="str">
        <f t="shared" si="5"/>
        <v>-</v>
      </c>
      <c r="M368" s="16" t="str">
        <f t="shared" si="7"/>
        <v/>
      </c>
    </row>
    <row r="369" spans="3:13" hidden="1" outlineLevel="1" x14ac:dyDescent="0.3">
      <c r="C369" s="315">
        <v>47</v>
      </c>
      <c r="D369" s="740"/>
      <c r="E369" s="740"/>
      <c r="F369" s="740"/>
      <c r="G369" s="734"/>
      <c r="H369" s="734"/>
      <c r="I369" s="734"/>
      <c r="J369" s="351"/>
      <c r="K369" s="351"/>
      <c r="L369" s="237" t="str">
        <f t="shared" si="5"/>
        <v>-</v>
      </c>
      <c r="M369" s="16" t="str">
        <f t="shared" si="7"/>
        <v/>
      </c>
    </row>
    <row r="370" spans="3:13" hidden="1" outlineLevel="1" x14ac:dyDescent="0.3">
      <c r="C370" s="315">
        <v>48</v>
      </c>
      <c r="D370" s="740"/>
      <c r="E370" s="740"/>
      <c r="F370" s="740"/>
      <c r="G370" s="734"/>
      <c r="H370" s="734"/>
      <c r="I370" s="734"/>
      <c r="J370" s="351"/>
      <c r="K370" s="351"/>
      <c r="L370" s="237" t="str">
        <f t="shared" si="5"/>
        <v>-</v>
      </c>
      <c r="M370" s="16" t="str">
        <f t="shared" si="7"/>
        <v/>
      </c>
    </row>
    <row r="371" spans="3:13" hidden="1" outlineLevel="1" x14ac:dyDescent="0.3">
      <c r="C371" s="315">
        <v>49</v>
      </c>
      <c r="D371" s="740"/>
      <c r="E371" s="740"/>
      <c r="F371" s="740"/>
      <c r="G371" s="734"/>
      <c r="H371" s="734"/>
      <c r="I371" s="734"/>
      <c r="J371" s="351"/>
      <c r="K371" s="351"/>
      <c r="L371" s="237" t="str">
        <f t="shared" si="5"/>
        <v>-</v>
      </c>
      <c r="M371" s="16" t="str">
        <f t="shared" si="7"/>
        <v/>
      </c>
    </row>
    <row r="372" spans="3:13" hidden="1" outlineLevel="1" x14ac:dyDescent="0.3">
      <c r="C372" s="315">
        <v>50</v>
      </c>
      <c r="D372" s="740"/>
      <c r="E372" s="740"/>
      <c r="F372" s="740"/>
      <c r="G372" s="734"/>
      <c r="H372" s="734"/>
      <c r="I372" s="734"/>
      <c r="J372" s="351"/>
      <c r="K372" s="351"/>
      <c r="L372" s="237" t="str">
        <f t="shared" si="5"/>
        <v>-</v>
      </c>
      <c r="M372" s="16" t="str">
        <f t="shared" si="7"/>
        <v/>
      </c>
    </row>
    <row r="373" spans="3:13" hidden="1" outlineLevel="1" x14ac:dyDescent="0.3">
      <c r="C373" s="315">
        <v>51</v>
      </c>
      <c r="D373" s="740"/>
      <c r="E373" s="740"/>
      <c r="F373" s="740"/>
      <c r="G373" s="734"/>
      <c r="H373" s="734"/>
      <c r="I373" s="734"/>
      <c r="J373" s="351"/>
      <c r="K373" s="351"/>
      <c r="L373" s="237" t="str">
        <f t="shared" si="5"/>
        <v>-</v>
      </c>
      <c r="M373" s="16" t="str">
        <f t="shared" si="7"/>
        <v/>
      </c>
    </row>
    <row r="374" spans="3:13" hidden="1" outlineLevel="1" x14ac:dyDescent="0.3">
      <c r="C374" s="315">
        <v>52</v>
      </c>
      <c r="D374" s="740"/>
      <c r="E374" s="740"/>
      <c r="F374" s="740"/>
      <c r="G374" s="734"/>
      <c r="H374" s="734"/>
      <c r="I374" s="734"/>
      <c r="J374" s="351"/>
      <c r="K374" s="351"/>
      <c r="L374" s="237" t="str">
        <f t="shared" si="5"/>
        <v>-</v>
      </c>
      <c r="M374" s="16" t="str">
        <f t="shared" si="7"/>
        <v/>
      </c>
    </row>
    <row r="375" spans="3:13" hidden="1" outlineLevel="1" x14ac:dyDescent="0.3">
      <c r="C375" s="315">
        <v>53</v>
      </c>
      <c r="D375" s="740"/>
      <c r="E375" s="740"/>
      <c r="F375" s="740"/>
      <c r="G375" s="734"/>
      <c r="H375" s="734"/>
      <c r="I375" s="734"/>
      <c r="J375" s="351"/>
      <c r="K375" s="351"/>
      <c r="L375" s="237" t="str">
        <f t="shared" si="5"/>
        <v>-</v>
      </c>
      <c r="M375" s="16" t="str">
        <f t="shared" si="7"/>
        <v/>
      </c>
    </row>
    <row r="376" spans="3:13" hidden="1" outlineLevel="1" x14ac:dyDescent="0.3">
      <c r="C376" s="315">
        <v>54</v>
      </c>
      <c r="D376" s="740"/>
      <c r="E376" s="740"/>
      <c r="F376" s="740"/>
      <c r="G376" s="734"/>
      <c r="H376" s="734"/>
      <c r="I376" s="734"/>
      <c r="J376" s="351"/>
      <c r="K376" s="351"/>
      <c r="L376" s="237" t="str">
        <f t="shared" si="5"/>
        <v>-</v>
      </c>
      <c r="M376" s="16" t="str">
        <f t="shared" si="7"/>
        <v/>
      </c>
    </row>
    <row r="377" spans="3:13" hidden="1" outlineLevel="1" x14ac:dyDescent="0.3">
      <c r="C377" s="315">
        <v>55</v>
      </c>
      <c r="D377" s="740"/>
      <c r="E377" s="740"/>
      <c r="F377" s="740"/>
      <c r="G377" s="734"/>
      <c r="H377" s="734"/>
      <c r="I377" s="734"/>
      <c r="J377" s="351"/>
      <c r="K377" s="351"/>
      <c r="L377" s="237" t="str">
        <f t="shared" si="5"/>
        <v>-</v>
      </c>
      <c r="M377" s="16" t="str">
        <f t="shared" si="7"/>
        <v/>
      </c>
    </row>
    <row r="378" spans="3:13" hidden="1" outlineLevel="1" x14ac:dyDescent="0.3">
      <c r="C378" s="315">
        <v>56</v>
      </c>
      <c r="D378" s="740"/>
      <c r="E378" s="740"/>
      <c r="F378" s="740"/>
      <c r="G378" s="734"/>
      <c r="H378" s="734"/>
      <c r="I378" s="734"/>
      <c r="J378" s="351"/>
      <c r="K378" s="351"/>
      <c r="L378" s="237" t="str">
        <f t="shared" si="5"/>
        <v>-</v>
      </c>
      <c r="M378" s="16" t="str">
        <f t="shared" si="7"/>
        <v/>
      </c>
    </row>
    <row r="379" spans="3:13" hidden="1" outlineLevel="1" x14ac:dyDescent="0.3">
      <c r="C379" s="315">
        <v>57</v>
      </c>
      <c r="D379" s="740"/>
      <c r="E379" s="740"/>
      <c r="F379" s="740"/>
      <c r="G379" s="734"/>
      <c r="H379" s="734"/>
      <c r="I379" s="734"/>
      <c r="J379" s="351"/>
      <c r="K379" s="351"/>
      <c r="L379" s="237" t="str">
        <f t="shared" si="5"/>
        <v>-</v>
      </c>
      <c r="M379" s="16" t="str">
        <f t="shared" si="7"/>
        <v/>
      </c>
    </row>
    <row r="380" spans="3:13" hidden="1" outlineLevel="1" x14ac:dyDescent="0.3">
      <c r="C380" s="315">
        <v>58</v>
      </c>
      <c r="D380" s="740"/>
      <c r="E380" s="740"/>
      <c r="F380" s="740"/>
      <c r="G380" s="734"/>
      <c r="H380" s="734"/>
      <c r="I380" s="734"/>
      <c r="J380" s="351"/>
      <c r="K380" s="351"/>
      <c r="L380" s="237" t="str">
        <f t="shared" si="5"/>
        <v>-</v>
      </c>
      <c r="M380" s="16" t="str">
        <f t="shared" si="7"/>
        <v/>
      </c>
    </row>
    <row r="381" spans="3:13" hidden="1" outlineLevel="1" x14ac:dyDescent="0.3">
      <c r="C381" s="315">
        <v>59</v>
      </c>
      <c r="D381" s="740"/>
      <c r="E381" s="740"/>
      <c r="F381" s="740"/>
      <c r="G381" s="734"/>
      <c r="H381" s="734"/>
      <c r="I381" s="734"/>
      <c r="J381" s="351"/>
      <c r="K381" s="351"/>
      <c r="L381" s="237" t="str">
        <f t="shared" si="5"/>
        <v>-</v>
      </c>
      <c r="M381" s="16" t="str">
        <f t="shared" si="7"/>
        <v/>
      </c>
    </row>
    <row r="382" spans="3:13" hidden="1" outlineLevel="1" x14ac:dyDescent="0.3">
      <c r="C382" s="315">
        <v>60</v>
      </c>
      <c r="D382" s="740"/>
      <c r="E382" s="740"/>
      <c r="F382" s="740"/>
      <c r="G382" s="734"/>
      <c r="H382" s="734"/>
      <c r="I382" s="734"/>
      <c r="J382" s="351"/>
      <c r="K382" s="351"/>
      <c r="L382" s="237" t="str">
        <f t="shared" si="5"/>
        <v>-</v>
      </c>
      <c r="M382" s="16" t="str">
        <f t="shared" si="7"/>
        <v/>
      </c>
    </row>
    <row r="383" spans="3:13" hidden="1" outlineLevel="1" x14ac:dyDescent="0.3">
      <c r="C383" s="315">
        <v>61</v>
      </c>
      <c r="D383" s="740"/>
      <c r="E383" s="740"/>
      <c r="F383" s="740"/>
      <c r="G383" s="734"/>
      <c r="H383" s="734"/>
      <c r="I383" s="734"/>
      <c r="J383" s="351"/>
      <c r="K383" s="351"/>
      <c r="L383" s="237" t="str">
        <f t="shared" si="5"/>
        <v>-</v>
      </c>
      <c r="M383" s="16" t="str">
        <f t="shared" si="7"/>
        <v/>
      </c>
    </row>
    <row r="384" spans="3:13" hidden="1" outlineLevel="1" x14ac:dyDescent="0.3">
      <c r="C384" s="315">
        <v>62</v>
      </c>
      <c r="D384" s="740"/>
      <c r="E384" s="740"/>
      <c r="F384" s="740"/>
      <c r="G384" s="734"/>
      <c r="H384" s="734"/>
      <c r="I384" s="734"/>
      <c r="J384" s="351"/>
      <c r="K384" s="351"/>
      <c r="L384" s="237" t="str">
        <f t="shared" si="5"/>
        <v>-</v>
      </c>
      <c r="M384" s="16" t="str">
        <f t="shared" si="7"/>
        <v/>
      </c>
    </row>
    <row r="385" spans="3:13" hidden="1" outlineLevel="1" x14ac:dyDescent="0.3">
      <c r="C385" s="315">
        <v>63</v>
      </c>
      <c r="D385" s="740"/>
      <c r="E385" s="740"/>
      <c r="F385" s="740"/>
      <c r="G385" s="734"/>
      <c r="H385" s="734"/>
      <c r="I385" s="734"/>
      <c r="J385" s="351"/>
      <c r="K385" s="351"/>
      <c r="L385" s="237" t="str">
        <f t="shared" si="5"/>
        <v>-</v>
      </c>
      <c r="M385" s="16" t="str">
        <f t="shared" si="7"/>
        <v/>
      </c>
    </row>
    <row r="386" spans="3:13" hidden="1" outlineLevel="1" x14ac:dyDescent="0.3">
      <c r="C386" s="315">
        <v>64</v>
      </c>
      <c r="D386" s="740"/>
      <c r="E386" s="740"/>
      <c r="F386" s="740"/>
      <c r="G386" s="734"/>
      <c r="H386" s="734"/>
      <c r="I386" s="734"/>
      <c r="J386" s="351"/>
      <c r="K386" s="351"/>
      <c r="L386" s="237" t="str">
        <f t="shared" si="5"/>
        <v>-</v>
      </c>
      <c r="M386" s="16" t="str">
        <f t="shared" si="7"/>
        <v/>
      </c>
    </row>
    <row r="387" spans="3:13" hidden="1" outlineLevel="1" x14ac:dyDescent="0.3">
      <c r="C387" s="315">
        <v>65</v>
      </c>
      <c r="D387" s="740"/>
      <c r="E387" s="740"/>
      <c r="F387" s="740"/>
      <c r="G387" s="734"/>
      <c r="H387" s="734"/>
      <c r="I387" s="734"/>
      <c r="J387" s="351"/>
      <c r="K387" s="351"/>
      <c r="L387" s="237" t="str">
        <f t="shared" si="5"/>
        <v>-</v>
      </c>
      <c r="M387" s="16" t="str">
        <f t="shared" si="7"/>
        <v/>
      </c>
    </row>
    <row r="388" spans="3:13" hidden="1" outlineLevel="1" x14ac:dyDescent="0.3">
      <c r="C388" s="315">
        <v>66</v>
      </c>
      <c r="D388" s="740"/>
      <c r="E388" s="740"/>
      <c r="F388" s="740"/>
      <c r="G388" s="734"/>
      <c r="H388" s="734"/>
      <c r="I388" s="734"/>
      <c r="J388" s="351"/>
      <c r="K388" s="351"/>
      <c r="L388" s="237" t="str">
        <f t="shared" si="5"/>
        <v>-</v>
      </c>
      <c r="M388" s="16" t="str">
        <f t="shared" ref="M388:M422" si="8">IF(
    IFERROR(LEN(LEFT(D388,FIND("-",D388)-1)),0)=0,
    "",
    IF(
        IFERROR(LEN(LEFT(D388,FIND("-",D388)-1)),0)=13,
        IF(
            COUNTIF(enum_ListWasteCategories,D388)&gt;0,
            template_label_error,
            IF(
                AND(D388&lt;&gt;"",G388&lt;&gt;"",J388&lt;&gt;"",K388&lt;&gt;""),
                IF(COUNTIF($D$323:$D$422,D388)&gt;1,
                    template_label_value_inconsistency,
                    template_label_ok
                ),
                IF(AND(D388&lt;&gt;"",G388&lt;&gt;"",J388&lt;&gt;"",K388=""),template_label_missing_value,
                IF(AND(D388&lt;&gt;"",G388&lt;&gt;"",J388="",K388&lt;&gt;""),template_label_missing_value,
                IF(AND(D388&lt;&gt;"",G388="",J388&lt;&gt;"",K388&lt;&gt;""),template_label_missing_value,
                IF(AND(D388="",G388&lt;&gt;"",J388&lt;&gt;"",K388&lt;&gt;""),template_label_missing_value,
                IF(AND(D388&lt;&gt;"",G388&lt;&gt;"",J388="",K388=""),template_label_missing_value,
                IF(AND(D388&lt;&gt;"",G388="",J388&lt;&gt;"",K388=""),template_label_missing_value,
                IF(AND(D388&lt;&gt;"",G388="",J388="",K388&lt;&gt;""),template_label_missing_value,
                IF(AND(D388="",G388="",J388&lt;&gt;"",K388&lt;&gt;""),template_label_missing_value,
                IF(AND(D388="",G388&lt;&gt;"",J388="",K388&lt;&gt;""),template_label_missing_value,
                IF(AND(D388="",G388&lt;&gt;"",J388&lt;&gt;"",K388=""),template_label_missing_value,
                IF(AND(D388="",G388="",J388="",K388&lt;&gt;""),template_label_missing_value,
                IF(AND(D388="",G388="",J388&lt;&gt;"",K388=""),template_label_missing_value,
                IF(AND(D388="",G388&lt;&gt;"",J388="",K388=""),template_label_missing_value,
                IF(AND(D388&lt;&gt;"",G388="",J388="",K388=""),template_label_missing_value,
                "")))))))))))))))),
        template_label_error
    )
)</f>
        <v/>
      </c>
    </row>
    <row r="389" spans="3:13" hidden="1" outlineLevel="1" x14ac:dyDescent="0.3">
      <c r="C389" s="315">
        <v>67</v>
      </c>
      <c r="D389" s="740"/>
      <c r="E389" s="740"/>
      <c r="F389" s="740"/>
      <c r="G389" s="734"/>
      <c r="H389" s="734"/>
      <c r="I389" s="734"/>
      <c r="J389" s="351"/>
      <c r="K389" s="351"/>
      <c r="L389" s="237" t="str">
        <f t="shared" si="5"/>
        <v>-</v>
      </c>
      <c r="M389" s="16" t="str">
        <f t="shared" si="8"/>
        <v/>
      </c>
    </row>
    <row r="390" spans="3:13" hidden="1" outlineLevel="1" x14ac:dyDescent="0.3">
      <c r="C390" s="315">
        <v>68</v>
      </c>
      <c r="D390" s="740"/>
      <c r="E390" s="740"/>
      <c r="F390" s="740"/>
      <c r="G390" s="734"/>
      <c r="H390" s="734"/>
      <c r="I390" s="734"/>
      <c r="J390" s="351"/>
      <c r="K390" s="351"/>
      <c r="L390" s="237" t="str">
        <f t="shared" si="5"/>
        <v>-</v>
      </c>
      <c r="M390" s="16" t="str">
        <f t="shared" si="8"/>
        <v/>
      </c>
    </row>
    <row r="391" spans="3:13" hidden="1" outlineLevel="1" x14ac:dyDescent="0.3">
      <c r="C391" s="315">
        <v>69</v>
      </c>
      <c r="D391" s="740"/>
      <c r="E391" s="740"/>
      <c r="F391" s="740"/>
      <c r="G391" s="734"/>
      <c r="H391" s="734"/>
      <c r="I391" s="734"/>
      <c r="J391" s="351"/>
      <c r="K391" s="351"/>
      <c r="L391" s="237" t="str">
        <f t="shared" si="5"/>
        <v>-</v>
      </c>
      <c r="M391" s="16" t="str">
        <f t="shared" si="8"/>
        <v/>
      </c>
    </row>
    <row r="392" spans="3:13" hidden="1" outlineLevel="1" x14ac:dyDescent="0.3">
      <c r="C392" s="315">
        <v>70</v>
      </c>
      <c r="D392" s="740"/>
      <c r="E392" s="740"/>
      <c r="F392" s="740"/>
      <c r="G392" s="734"/>
      <c r="H392" s="734"/>
      <c r="I392" s="734"/>
      <c r="J392" s="351"/>
      <c r="K392" s="351"/>
      <c r="L392" s="237" t="str">
        <f t="shared" si="5"/>
        <v>-</v>
      </c>
      <c r="M392" s="16" t="str">
        <f t="shared" si="8"/>
        <v/>
      </c>
    </row>
    <row r="393" spans="3:13" hidden="1" outlineLevel="1" x14ac:dyDescent="0.3">
      <c r="C393" s="315">
        <v>71</v>
      </c>
      <c r="D393" s="740"/>
      <c r="E393" s="740"/>
      <c r="F393" s="740"/>
      <c r="G393" s="734"/>
      <c r="H393" s="734"/>
      <c r="I393" s="734"/>
      <c r="J393" s="351"/>
      <c r="K393" s="351"/>
      <c r="L393" s="237" t="str">
        <f t="shared" si="5"/>
        <v>-</v>
      </c>
      <c r="M393" s="16" t="str">
        <f t="shared" si="8"/>
        <v/>
      </c>
    </row>
    <row r="394" spans="3:13" hidden="1" outlineLevel="1" x14ac:dyDescent="0.3">
      <c r="C394" s="315">
        <v>72</v>
      </c>
      <c r="D394" s="740"/>
      <c r="E394" s="740"/>
      <c r="F394" s="740"/>
      <c r="G394" s="734"/>
      <c r="H394" s="734"/>
      <c r="I394" s="734"/>
      <c r="J394" s="351"/>
      <c r="K394" s="351"/>
      <c r="L394" s="237" t="str">
        <f t="shared" si="5"/>
        <v>-</v>
      </c>
      <c r="M394" s="16" t="str">
        <f t="shared" si="8"/>
        <v/>
      </c>
    </row>
    <row r="395" spans="3:13" hidden="1" outlineLevel="1" x14ac:dyDescent="0.3">
      <c r="C395" s="315">
        <v>73</v>
      </c>
      <c r="D395" s="740"/>
      <c r="E395" s="740"/>
      <c r="F395" s="740"/>
      <c r="G395" s="734"/>
      <c r="H395" s="734"/>
      <c r="I395" s="734"/>
      <c r="J395" s="351"/>
      <c r="K395" s="351"/>
      <c r="L395" s="237" t="str">
        <f t="shared" si="5"/>
        <v>-</v>
      </c>
      <c r="M395" s="16" t="str">
        <f t="shared" si="8"/>
        <v/>
      </c>
    </row>
    <row r="396" spans="3:13" hidden="1" outlineLevel="1" x14ac:dyDescent="0.3">
      <c r="C396" s="315">
        <v>74</v>
      </c>
      <c r="D396" s="740"/>
      <c r="E396" s="740"/>
      <c r="F396" s="740"/>
      <c r="G396" s="734"/>
      <c r="H396" s="734"/>
      <c r="I396" s="734"/>
      <c r="J396" s="351"/>
      <c r="K396" s="351"/>
      <c r="L396" s="237" t="str">
        <f t="shared" si="5"/>
        <v>-</v>
      </c>
      <c r="M396" s="16" t="str">
        <f t="shared" si="8"/>
        <v/>
      </c>
    </row>
    <row r="397" spans="3:13" hidden="1" outlineLevel="1" x14ac:dyDescent="0.3">
      <c r="C397" s="315">
        <v>75</v>
      </c>
      <c r="D397" s="740"/>
      <c r="E397" s="740"/>
      <c r="F397" s="740"/>
      <c r="G397" s="734"/>
      <c r="H397" s="734"/>
      <c r="I397" s="734"/>
      <c r="J397" s="351"/>
      <c r="K397" s="351"/>
      <c r="L397" s="237" t="str">
        <f t="shared" si="5"/>
        <v>-</v>
      </c>
      <c r="M397" s="16" t="str">
        <f t="shared" si="8"/>
        <v/>
      </c>
    </row>
    <row r="398" spans="3:13" hidden="1" outlineLevel="1" x14ac:dyDescent="0.3">
      <c r="C398" s="315">
        <v>76</v>
      </c>
      <c r="D398" s="740"/>
      <c r="E398" s="740"/>
      <c r="F398" s="740"/>
      <c r="G398" s="734"/>
      <c r="H398" s="734"/>
      <c r="I398" s="734"/>
      <c r="J398" s="351"/>
      <c r="K398" s="351"/>
      <c r="L398" s="237" t="str">
        <f t="shared" si="5"/>
        <v>-</v>
      </c>
      <c r="M398" s="16" t="str">
        <f t="shared" si="8"/>
        <v/>
      </c>
    </row>
    <row r="399" spans="3:13" hidden="1" outlineLevel="1" x14ac:dyDescent="0.3">
      <c r="C399" s="315">
        <v>77</v>
      </c>
      <c r="D399" s="740"/>
      <c r="E399" s="740"/>
      <c r="F399" s="740"/>
      <c r="G399" s="734"/>
      <c r="H399" s="734"/>
      <c r="I399" s="734"/>
      <c r="J399" s="351"/>
      <c r="K399" s="351"/>
      <c r="L399" s="237" t="str">
        <f t="shared" si="5"/>
        <v>-</v>
      </c>
      <c r="M399" s="16" t="str">
        <f t="shared" si="8"/>
        <v/>
      </c>
    </row>
    <row r="400" spans="3:13" hidden="1" outlineLevel="1" x14ac:dyDescent="0.3">
      <c r="C400" s="315">
        <v>78</v>
      </c>
      <c r="D400" s="740"/>
      <c r="E400" s="740"/>
      <c r="F400" s="740"/>
      <c r="G400" s="734"/>
      <c r="H400" s="734"/>
      <c r="I400" s="734"/>
      <c r="J400" s="351"/>
      <c r="K400" s="351"/>
      <c r="L400" s="237" t="str">
        <f t="shared" si="5"/>
        <v>-</v>
      </c>
      <c r="M400" s="16" t="str">
        <f t="shared" si="8"/>
        <v/>
      </c>
    </row>
    <row r="401" spans="3:13" hidden="1" outlineLevel="1" x14ac:dyDescent="0.3">
      <c r="C401" s="315">
        <v>79</v>
      </c>
      <c r="D401" s="740"/>
      <c r="E401" s="740"/>
      <c r="F401" s="740"/>
      <c r="G401" s="734"/>
      <c r="H401" s="734"/>
      <c r="I401" s="734"/>
      <c r="J401" s="351"/>
      <c r="K401" s="351"/>
      <c r="L401" s="237" t="str">
        <f t="shared" si="5"/>
        <v>-</v>
      </c>
      <c r="M401" s="16" t="str">
        <f t="shared" si="8"/>
        <v/>
      </c>
    </row>
    <row r="402" spans="3:13" hidden="1" outlineLevel="1" x14ac:dyDescent="0.3">
      <c r="C402" s="315">
        <v>80</v>
      </c>
      <c r="D402" s="740"/>
      <c r="E402" s="740"/>
      <c r="F402" s="740"/>
      <c r="G402" s="734"/>
      <c r="H402" s="734"/>
      <c r="I402" s="734"/>
      <c r="J402" s="351"/>
      <c r="K402" s="351"/>
      <c r="L402" s="237" t="str">
        <f t="shared" si="5"/>
        <v>-</v>
      </c>
      <c r="M402" s="16" t="str">
        <f t="shared" si="8"/>
        <v/>
      </c>
    </row>
    <row r="403" spans="3:13" hidden="1" outlineLevel="1" x14ac:dyDescent="0.3">
      <c r="C403" s="315">
        <v>81</v>
      </c>
      <c r="D403" s="740"/>
      <c r="E403" s="740"/>
      <c r="F403" s="740"/>
      <c r="G403" s="734"/>
      <c r="H403" s="734"/>
      <c r="I403" s="734"/>
      <c r="J403" s="351"/>
      <c r="K403" s="351"/>
      <c r="L403" s="237" t="str">
        <f t="shared" si="5"/>
        <v>-</v>
      </c>
      <c r="M403" s="16" t="str">
        <f t="shared" si="8"/>
        <v/>
      </c>
    </row>
    <row r="404" spans="3:13" hidden="1" outlineLevel="1" x14ac:dyDescent="0.3">
      <c r="C404" s="315">
        <v>82</v>
      </c>
      <c r="D404" s="740"/>
      <c r="E404" s="740"/>
      <c r="F404" s="740"/>
      <c r="G404" s="734"/>
      <c r="H404" s="734"/>
      <c r="I404" s="734"/>
      <c r="J404" s="351"/>
      <c r="K404" s="351"/>
      <c r="L404" s="237" t="str">
        <f t="shared" si="5"/>
        <v>-</v>
      </c>
      <c r="M404" s="16" t="str">
        <f t="shared" si="8"/>
        <v/>
      </c>
    </row>
    <row r="405" spans="3:13" hidden="1" outlineLevel="1" x14ac:dyDescent="0.3">
      <c r="C405" s="315">
        <v>83</v>
      </c>
      <c r="D405" s="740"/>
      <c r="E405" s="740"/>
      <c r="F405" s="740"/>
      <c r="G405" s="734"/>
      <c r="H405" s="734"/>
      <c r="I405" s="734"/>
      <c r="J405" s="351"/>
      <c r="K405" s="351"/>
      <c r="L405" s="237" t="str">
        <f t="shared" si="5"/>
        <v>-</v>
      </c>
      <c r="M405" s="16" t="str">
        <f t="shared" si="8"/>
        <v/>
      </c>
    </row>
    <row r="406" spans="3:13" hidden="1" outlineLevel="1" x14ac:dyDescent="0.3">
      <c r="C406" s="315">
        <v>84</v>
      </c>
      <c r="D406" s="740"/>
      <c r="E406" s="740"/>
      <c r="F406" s="740"/>
      <c r="G406" s="734"/>
      <c r="H406" s="734"/>
      <c r="I406" s="734"/>
      <c r="J406" s="351"/>
      <c r="K406" s="351"/>
      <c r="L406" s="237" t="str">
        <f t="shared" si="5"/>
        <v>-</v>
      </c>
      <c r="M406" s="16" t="str">
        <f t="shared" si="8"/>
        <v/>
      </c>
    </row>
    <row r="407" spans="3:13" hidden="1" outlineLevel="1" x14ac:dyDescent="0.3">
      <c r="C407" s="315">
        <v>85</v>
      </c>
      <c r="D407" s="740"/>
      <c r="E407" s="740"/>
      <c r="F407" s="740"/>
      <c r="G407" s="734"/>
      <c r="H407" s="734"/>
      <c r="I407" s="734"/>
      <c r="J407" s="351"/>
      <c r="K407" s="351"/>
      <c r="L407" s="237" t="str">
        <f t="shared" si="5"/>
        <v>-</v>
      </c>
      <c r="M407" s="16" t="str">
        <f t="shared" si="8"/>
        <v/>
      </c>
    </row>
    <row r="408" spans="3:13" hidden="1" outlineLevel="1" x14ac:dyDescent="0.3">
      <c r="C408" s="315">
        <v>86</v>
      </c>
      <c r="D408" s="740"/>
      <c r="E408" s="740"/>
      <c r="F408" s="740"/>
      <c r="G408" s="734"/>
      <c r="H408" s="734"/>
      <c r="I408" s="734"/>
      <c r="J408" s="351"/>
      <c r="K408" s="351"/>
      <c r="L408" s="237" t="str">
        <f t="shared" si="5"/>
        <v>-</v>
      </c>
      <c r="M408" s="16" t="str">
        <f t="shared" si="8"/>
        <v/>
      </c>
    </row>
    <row r="409" spans="3:13" hidden="1" outlineLevel="1" x14ac:dyDescent="0.3">
      <c r="C409" s="315">
        <v>87</v>
      </c>
      <c r="D409" s="740"/>
      <c r="E409" s="740"/>
      <c r="F409" s="740"/>
      <c r="G409" s="734"/>
      <c r="H409" s="734"/>
      <c r="I409" s="734"/>
      <c r="J409" s="351"/>
      <c r="K409" s="351"/>
      <c r="L409" s="237" t="str">
        <f t="shared" si="5"/>
        <v>-</v>
      </c>
      <c r="M409" s="16" t="str">
        <f t="shared" si="8"/>
        <v/>
      </c>
    </row>
    <row r="410" spans="3:13" hidden="1" outlineLevel="1" x14ac:dyDescent="0.3">
      <c r="C410" s="315">
        <v>88</v>
      </c>
      <c r="D410" s="740"/>
      <c r="E410" s="740"/>
      <c r="F410" s="740"/>
      <c r="G410" s="734"/>
      <c r="H410" s="734"/>
      <c r="I410" s="734"/>
      <c r="J410" s="351"/>
      <c r="K410" s="351"/>
      <c r="L410" s="237" t="str">
        <f t="shared" si="5"/>
        <v>-</v>
      </c>
      <c r="M410" s="16" t="str">
        <f t="shared" si="8"/>
        <v/>
      </c>
    </row>
    <row r="411" spans="3:13" hidden="1" outlineLevel="1" x14ac:dyDescent="0.3">
      <c r="C411" s="315">
        <v>89</v>
      </c>
      <c r="D411" s="740"/>
      <c r="E411" s="740"/>
      <c r="F411" s="740"/>
      <c r="G411" s="734"/>
      <c r="H411" s="734"/>
      <c r="I411" s="734"/>
      <c r="J411" s="351"/>
      <c r="K411" s="351"/>
      <c r="L411" s="237" t="str">
        <f t="shared" si="5"/>
        <v>-</v>
      </c>
      <c r="M411" s="16" t="str">
        <f t="shared" si="8"/>
        <v/>
      </c>
    </row>
    <row r="412" spans="3:13" hidden="1" outlineLevel="1" x14ac:dyDescent="0.3">
      <c r="C412" s="315">
        <v>90</v>
      </c>
      <c r="D412" s="740"/>
      <c r="E412" s="740"/>
      <c r="F412" s="740"/>
      <c r="G412" s="734"/>
      <c r="H412" s="734"/>
      <c r="I412" s="734"/>
      <c r="J412" s="351"/>
      <c r="K412" s="351"/>
      <c r="L412" s="237" t="str">
        <f t="shared" si="5"/>
        <v>-</v>
      </c>
      <c r="M412" s="16" t="str">
        <f t="shared" si="8"/>
        <v/>
      </c>
    </row>
    <row r="413" spans="3:13" hidden="1" outlineLevel="1" x14ac:dyDescent="0.3">
      <c r="C413" s="315">
        <v>91</v>
      </c>
      <c r="D413" s="740"/>
      <c r="E413" s="740"/>
      <c r="F413" s="740"/>
      <c r="G413" s="734"/>
      <c r="H413" s="734"/>
      <c r="I413" s="734"/>
      <c r="J413" s="351"/>
      <c r="K413" s="351"/>
      <c r="L413" s="237" t="str">
        <f t="shared" si="5"/>
        <v>-</v>
      </c>
      <c r="M413" s="16" t="str">
        <f t="shared" si="8"/>
        <v/>
      </c>
    </row>
    <row r="414" spans="3:13" hidden="1" outlineLevel="1" x14ac:dyDescent="0.3">
      <c r="C414" s="315">
        <v>92</v>
      </c>
      <c r="D414" s="740"/>
      <c r="E414" s="740"/>
      <c r="F414" s="740"/>
      <c r="G414" s="734"/>
      <c r="H414" s="734"/>
      <c r="I414" s="734"/>
      <c r="J414" s="351"/>
      <c r="K414" s="351"/>
      <c r="L414" s="237" t="str">
        <f t="shared" si="5"/>
        <v>-</v>
      </c>
      <c r="M414" s="16" t="str">
        <f t="shared" si="8"/>
        <v/>
      </c>
    </row>
    <row r="415" spans="3:13" hidden="1" outlineLevel="1" x14ac:dyDescent="0.3">
      <c r="C415" s="315">
        <v>93</v>
      </c>
      <c r="D415" s="740"/>
      <c r="E415" s="740"/>
      <c r="F415" s="740"/>
      <c r="G415" s="734"/>
      <c r="H415" s="734"/>
      <c r="I415" s="734"/>
      <c r="J415" s="351"/>
      <c r="K415" s="351"/>
      <c r="L415" s="237" t="str">
        <f t="shared" si="5"/>
        <v>-</v>
      </c>
      <c r="M415" s="16" t="str">
        <f t="shared" si="8"/>
        <v/>
      </c>
    </row>
    <row r="416" spans="3:13" hidden="1" outlineLevel="1" x14ac:dyDescent="0.3">
      <c r="C416" s="315">
        <v>94</v>
      </c>
      <c r="D416" s="740"/>
      <c r="E416" s="740"/>
      <c r="F416" s="740"/>
      <c r="G416" s="734"/>
      <c r="H416" s="734"/>
      <c r="I416" s="734"/>
      <c r="J416" s="351"/>
      <c r="K416" s="351"/>
      <c r="L416" s="237" t="str">
        <f t="shared" si="5"/>
        <v>-</v>
      </c>
      <c r="M416" s="16" t="str">
        <f t="shared" si="8"/>
        <v/>
      </c>
    </row>
    <row r="417" spans="3:13" hidden="1" outlineLevel="1" x14ac:dyDescent="0.3">
      <c r="C417" s="315">
        <v>95</v>
      </c>
      <c r="D417" s="740"/>
      <c r="E417" s="740"/>
      <c r="F417" s="740"/>
      <c r="G417" s="734"/>
      <c r="H417" s="734"/>
      <c r="I417" s="734"/>
      <c r="J417" s="351"/>
      <c r="K417" s="351"/>
      <c r="L417" s="237" t="str">
        <f t="shared" si="5"/>
        <v>-</v>
      </c>
      <c r="M417" s="16" t="str">
        <f t="shared" si="8"/>
        <v/>
      </c>
    </row>
    <row r="418" spans="3:13" hidden="1" outlineLevel="1" x14ac:dyDescent="0.3">
      <c r="C418" s="315">
        <v>96</v>
      </c>
      <c r="D418" s="740"/>
      <c r="E418" s="740"/>
      <c r="F418" s="740"/>
      <c r="G418" s="734"/>
      <c r="H418" s="734"/>
      <c r="I418" s="734"/>
      <c r="J418" s="351"/>
      <c r="K418" s="351"/>
      <c r="L418" s="237" t="str">
        <f t="shared" si="5"/>
        <v>-</v>
      </c>
      <c r="M418" s="16" t="str">
        <f t="shared" si="8"/>
        <v/>
      </c>
    </row>
    <row r="419" spans="3:13" hidden="1" outlineLevel="1" x14ac:dyDescent="0.3">
      <c r="C419" s="315">
        <v>97</v>
      </c>
      <c r="D419" s="740"/>
      <c r="E419" s="740"/>
      <c r="F419" s="740"/>
      <c r="G419" s="734"/>
      <c r="H419" s="734"/>
      <c r="I419" s="734"/>
      <c r="J419" s="351"/>
      <c r="K419" s="351"/>
      <c r="L419" s="237" t="str">
        <f t="shared" si="5"/>
        <v>-</v>
      </c>
      <c r="M419" s="16" t="str">
        <f t="shared" si="8"/>
        <v/>
      </c>
    </row>
    <row r="420" spans="3:13" hidden="1" outlineLevel="1" x14ac:dyDescent="0.3">
      <c r="C420" s="315">
        <v>98</v>
      </c>
      <c r="D420" s="740"/>
      <c r="E420" s="740"/>
      <c r="F420" s="740"/>
      <c r="G420" s="734"/>
      <c r="H420" s="734"/>
      <c r="I420" s="734"/>
      <c r="J420" s="351"/>
      <c r="K420" s="351"/>
      <c r="L420" s="237" t="str">
        <f t="shared" si="5"/>
        <v>-</v>
      </c>
      <c r="M420" s="16" t="str">
        <f t="shared" si="8"/>
        <v/>
      </c>
    </row>
    <row r="421" spans="3:13" hidden="1" outlineLevel="1" x14ac:dyDescent="0.3">
      <c r="C421" s="315">
        <v>99</v>
      </c>
      <c r="D421" s="740"/>
      <c r="E421" s="740"/>
      <c r="F421" s="740"/>
      <c r="G421" s="734"/>
      <c r="H421" s="734"/>
      <c r="I421" s="734"/>
      <c r="J421" s="351"/>
      <c r="K421" s="351"/>
      <c r="L421" s="237" t="str">
        <f t="shared" si="5"/>
        <v>-</v>
      </c>
      <c r="M421" s="16" t="str">
        <f t="shared" si="8"/>
        <v/>
      </c>
    </row>
    <row r="422" spans="3:13" ht="15" hidden="1" outlineLevel="1" thickBot="1" x14ac:dyDescent="0.35">
      <c r="C422" s="315">
        <v>100</v>
      </c>
      <c r="D422" s="910"/>
      <c r="E422" s="910"/>
      <c r="F422" s="910"/>
      <c r="G422" s="912"/>
      <c r="H422" s="912"/>
      <c r="I422" s="912"/>
      <c r="J422" s="242"/>
      <c r="K422" s="242"/>
      <c r="L422" s="239" t="str">
        <f t="shared" si="5"/>
        <v>-</v>
      </c>
      <c r="M422" s="16" t="str">
        <f t="shared" si="8"/>
        <v/>
      </c>
    </row>
    <row r="423" spans="3:13" collapsed="1" x14ac:dyDescent="0.3">
      <c r="C423" s="896" t="str">
        <f>template_label_total_amount_of_waste_generated</f>
        <v>Quantité totale de déchets produits</v>
      </c>
      <c r="D423" s="941" t="str">
        <f>template_label_total_hazardous_waste_generated_mass</f>
        <v>Total des déchets dangereux produits (en masse)</v>
      </c>
      <c r="E423" s="941"/>
      <c r="F423" s="942"/>
      <c r="G423" s="937"/>
      <c r="H423" s="937"/>
      <c r="I423" s="938"/>
      <c r="J423" s="966" t="str">
        <f>IF( OR(
        G423="",
        (
            COUNTA(D323:D422)=0 *
            COUNTA(J323:J422)=0 *
            COUNTA(K323:K422)=0
        )
     ),
    "-",
    IF(G423="metric tonnes (t)",
        SUMIFS(L323:L422, D323:D422, "* Hazardous *", G323:G422, "*kilograms (kg)*")/1000 +
        SUMIFS(L323:L422, D323:D422, "* Hazardous *", G323:G422, "*metric tonnes (t)*"),
        SUMIFS(L323:L422, D323:D422, "* Hazardous *", G323:G422, "*kilograms (kg)*") +
        SUMIFS(L323:L422, D323:D422, "* Hazardous *", G323:G422, "*metric tonnes (t)*")*1000
    )
)</f>
        <v>-</v>
      </c>
      <c r="K423" s="966"/>
      <c r="L423" s="967"/>
      <c r="M423" s="16" t="str" cm="1">
        <f t="array" ref="M423">IF(G423="",
    IF(SUMPRODUCT(--((G323:G422="metric tonnes (t)")+(G323:G422="kilograms (kg)")))&gt;0,
        template_label_missing_value,
        ""
    ),
    IF(SUMPRODUCT(--((G323:G422="metric tonnes (t)")+(G323:G422="kilograms (kg)")))&gt;0,
        template_label_ok,
        ""
    )
)</f>
        <v/>
      </c>
    </row>
    <row r="424" spans="3:13" x14ac:dyDescent="0.3">
      <c r="C424" s="897"/>
      <c r="D424" s="737" t="str">
        <f>template_label_total_non_hazardous_waste_generated_mass</f>
        <v>Total des déchets non dangereux produits (en masse)</v>
      </c>
      <c r="E424" s="737"/>
      <c r="F424" s="738"/>
      <c r="G424" s="932" t="str">
        <f>IF($G$423="", "-", $G$423)</f>
        <v>-</v>
      </c>
      <c r="H424" s="932"/>
      <c r="I424" s="934"/>
      <c r="J424" s="864" t="str">
        <f>IF(
    OR(
        G423="",
        AND(
            COUNTA(D323:D422)=0,
            COUNTA(J323:J422)=0,
            COUNTA(K323:K422)=0
        )
    ),
    "-",
    IF(
        G423="metric tonnes (t)",
        SUMIFS(L323:L422, D323:D422, "* Non-Hazardous *", G323:G422, "*kilograms (kg)*")/1000 +
        SUMIFS(L323:L422, D323:D422, "* Non-Hazardous *", G323:G422, "*metric tonnes (t)*"),
        SUMIFS(L323:L422, D323:D422, "* Non-Hazardous *", G323:G422, "*kilograms (kg)*") +
        SUMIFS(L323:L422, D323:D422, "* Non-Hazardous *", G323:G422, "*metric tonnes (t)*")*1000
    )
)</f>
        <v>-</v>
      </c>
      <c r="K424" s="864"/>
      <c r="L424" s="931"/>
    </row>
    <row r="425" spans="3:13" ht="15" thickBot="1" x14ac:dyDescent="0.35">
      <c r="C425" s="897"/>
      <c r="D425" s="939" t="str">
        <f>template_label_total_waste_generated_mass</f>
        <v>Total des déchets produits (en masse)</v>
      </c>
      <c r="E425" s="939"/>
      <c r="F425" s="940"/>
      <c r="G425" s="932" t="str">
        <f>IF($G$423="", "-", $G$423)</f>
        <v>-</v>
      </c>
      <c r="H425" s="933"/>
      <c r="I425" s="936"/>
      <c r="J425" s="758" t="str">
        <f>IF(AND(J423="-",J424="-"),"-",SUM(J423:L424))</f>
        <v>-</v>
      </c>
      <c r="K425" s="758"/>
      <c r="L425" s="762"/>
    </row>
    <row r="426" spans="3:13" x14ac:dyDescent="0.3">
      <c r="C426" s="897"/>
      <c r="D426" s="735" t="str">
        <f>template_label_total_hazardous_waste_generated_volume</f>
        <v>Total des déchets dangereux produits (en volume)</v>
      </c>
      <c r="E426" s="735"/>
      <c r="F426" s="736"/>
      <c r="G426" s="739" t="str">
        <f>template_label_cubic_meters</f>
        <v>mètres cubes (m³)</v>
      </c>
      <c r="H426" s="739"/>
      <c r="I426" s="739"/>
      <c r="J426" s="969" t="str">
        <f>IF(
    AND(
        COUNTA(D323:D422)=0,
        COUNTA(J323:J422)=0,
        COUNTA(K323:K422)=0
    ),
    "-",
    SUMIFS(L323:L422, D323:D422,"* Hazardous *", G323:G422,"*cubic meters (m3)*")
)</f>
        <v>-</v>
      </c>
      <c r="K426" s="969"/>
      <c r="L426" s="970"/>
    </row>
    <row r="427" spans="3:13" x14ac:dyDescent="0.3">
      <c r="C427" s="897"/>
      <c r="D427" s="737" t="str">
        <f>template_label_total_non_hazardous_waste_generated_volume</f>
        <v>Total des déchets non dangereux produits (en volume)</v>
      </c>
      <c r="E427" s="737"/>
      <c r="F427" s="738"/>
      <c r="G427" s="932" t="str">
        <f>template_label_cubic_meters</f>
        <v>mètres cubes (m³)</v>
      </c>
      <c r="H427" s="932"/>
      <c r="I427" s="932"/>
      <c r="J427" s="864" t="str">
        <f>IF(
    AND(
        COUNTA(D323:D422)=0,
        COUNTA(J323:J422)=0,
        COUNTA(K323:K422)=0
    ),
    "-",
    SUMIFS(L323:L422, D323:D422,"*Non-Hazardous*", G323:G422,"*cubic meters (m3)*")
)</f>
        <v>-</v>
      </c>
      <c r="K427" s="864"/>
      <c r="L427" s="931"/>
    </row>
    <row r="428" spans="3:13" ht="15" thickBot="1" x14ac:dyDescent="0.35">
      <c r="C428" s="898"/>
      <c r="D428" s="939" t="str">
        <f>template_label_total_waste_generated_volume</f>
        <v>Total des déchets produits (en volume)</v>
      </c>
      <c r="E428" s="939"/>
      <c r="F428" s="940"/>
      <c r="G428" s="933" t="str">
        <f>template_label_cubic_meters</f>
        <v>mètres cubes (m³)</v>
      </c>
      <c r="H428" s="933"/>
      <c r="I428" s="933"/>
      <c r="J428" s="758" t="str">
        <f>IF(AND(J426="-",J427="-"),"-",SUM(J426:L427))</f>
        <v>-</v>
      </c>
      <c r="K428" s="758"/>
      <c r="L428" s="762"/>
    </row>
    <row r="429" spans="3:13" ht="15" thickBot="1" x14ac:dyDescent="0.35"/>
    <row r="430" spans="3:13" ht="15" thickBot="1" x14ac:dyDescent="0.35">
      <c r="C430" s="661" t="str">
        <f>template_label_b7_annual_mass_flow_of_relevant_materials_used&amp;" "&amp;template_label_from&amp;" "&amp;template_starting_date_display&amp;" "&amp;template_label_to&amp;" "&amp;template_ending_date_display&amp;" "&amp;template_label_if_applicable</f>
        <v>B7 – Flux massique annuel des matières pertinentes utilisées du - au - [Le cas échéant]</v>
      </c>
      <c r="D430" s="789"/>
      <c r="E430" s="789"/>
      <c r="F430" s="789"/>
      <c r="G430" s="789"/>
      <c r="H430" s="789"/>
      <c r="I430" s="789"/>
      <c r="J430" s="790"/>
    </row>
    <row r="431" spans="3:13" x14ac:dyDescent="0.3">
      <c r="C431" s="636" t="s">
        <v>47</v>
      </c>
      <c r="D431" s="783"/>
      <c r="E431" s="783"/>
      <c r="F431" s="783"/>
      <c r="G431" s="783"/>
      <c r="H431" s="783"/>
      <c r="I431" s="783"/>
      <c r="J431" s="784"/>
    </row>
    <row r="432" spans="3:13" x14ac:dyDescent="0.3">
      <c r="C432" s="645" t="s">
        <v>48</v>
      </c>
      <c r="D432" s="622"/>
      <c r="E432" s="622"/>
      <c r="F432" s="622"/>
      <c r="G432" s="622"/>
      <c r="H432" s="622"/>
      <c r="I432" s="622"/>
      <c r="J432" s="741"/>
      <c r="K432" s="11"/>
      <c r="L432" s="11"/>
    </row>
    <row r="433" spans="3:12" ht="30" customHeight="1" x14ac:dyDescent="0.3">
      <c r="C433" s="650" t="str">
        <f>template_label_does_the_undertaking_operate_in_a_sector_using_significant_material_flows</f>
        <v>L’entreprise opère-t-elle dans un secteur qui utilise des flux de matières importants (par ex. fabrication, construction, emballage ou autres) ?</v>
      </c>
      <c r="D433" s="962"/>
      <c r="E433" s="962"/>
      <c r="F433" s="963"/>
      <c r="G433" s="651" t="b">
        <v>0</v>
      </c>
      <c r="H433" s="964"/>
      <c r="I433" s="964"/>
      <c r="J433" s="965"/>
    </row>
    <row r="434" spans="3:12" ht="43.5" customHeight="1" x14ac:dyDescent="0.3">
      <c r="C434" s="121" t="str">
        <f>template_label_row_id</f>
        <v>ID de ligne</v>
      </c>
      <c r="D434" s="865" t="str">
        <f>template_label_name_of_the_key_material</f>
        <v xml:space="preserve">  Nom de la matières clé </v>
      </c>
      <c r="E434" s="865"/>
      <c r="F434" s="865"/>
      <c r="G434" s="865" t="str">
        <f>template_label_mass_volume</f>
        <v>Masse / Volume</v>
      </c>
      <c r="H434" s="865"/>
      <c r="I434" s="865"/>
      <c r="J434" s="95" t="str">
        <f>template_label_unit_of_measurement</f>
        <v>Unité de mesure</v>
      </c>
    </row>
    <row r="435" spans="3:12" x14ac:dyDescent="0.3">
      <c r="C435" s="199">
        <v>1</v>
      </c>
      <c r="D435" s="742"/>
      <c r="E435" s="742"/>
      <c r="F435" s="742"/>
      <c r="G435" s="730"/>
      <c r="H435" s="730"/>
      <c r="I435" s="730"/>
      <c r="J435" s="124"/>
      <c r="K435" s="17" t="str">
        <f>IF(AND(G433=TRUE,D435&lt;&gt;"",G435&lt;&gt;"",J435&lt;&gt;""),
    template_label_ok,
    IF(AND(G433=TRUE,OR(D435="",G435="",J435="")),
        template_label_missing_value,
        ""
    )
)</f>
        <v/>
      </c>
    </row>
    <row r="436" spans="3:12" x14ac:dyDescent="0.3">
      <c r="C436" s="199">
        <v>2</v>
      </c>
      <c r="D436" s="847"/>
      <c r="E436" s="847"/>
      <c r="F436" s="847"/>
      <c r="G436" s="730"/>
      <c r="H436" s="730"/>
      <c r="I436" s="730"/>
      <c r="J436" s="124"/>
      <c r="K436" s="17" t="str">
        <f t="shared" ref="K436:K534" si="9">IF(AND(D436&lt;&gt;"",G436&lt;&gt;"",J436&lt;&gt;""),
    template_label_ok,
    IF(AND(D436&lt;&gt;"",G436&lt;&gt;"",J436=""),
        template_label_missing_value,
        IF(AND(D436&lt;&gt;"",G436="",J436&lt;&gt;""),
            template_label_missing_value,
            IF(AND(D436&lt;&gt;"",G436="",J436=""),
                template_label_missing_value,
                IF(AND(D436="",G436="",J436=""),
                    "",
                    template_label_missing_value
                )
            )
        )
    )
)</f>
        <v/>
      </c>
    </row>
    <row r="437" spans="3:12" x14ac:dyDescent="0.3">
      <c r="C437" s="199">
        <v>3</v>
      </c>
      <c r="D437" s="847"/>
      <c r="E437" s="847"/>
      <c r="F437" s="847"/>
      <c r="G437" s="730"/>
      <c r="H437" s="730"/>
      <c r="I437" s="730"/>
      <c r="J437" s="124"/>
      <c r="K437" s="17" t="str">
        <f t="shared" si="9"/>
        <v/>
      </c>
      <c r="L437" t="str">
        <f>template_label_additional_rows_warning</f>
        <v>ℹ️Les listes peuvent être déroulées à l’aide du bouton plus [+] situé à gauche. Si le nombre de lignes n’est pas suffisant, des lignes supplémentaires peuvent être ajoutées en cliquant avec le bouton droit sur la deuxième ligne et en sélectionnant « Insérer une ligne ».</v>
      </c>
    </row>
    <row r="438" spans="3:12" hidden="1" outlineLevel="2" x14ac:dyDescent="0.3">
      <c r="C438" s="199">
        <v>4</v>
      </c>
      <c r="D438" s="847"/>
      <c r="E438" s="847"/>
      <c r="F438" s="847"/>
      <c r="G438" s="730"/>
      <c r="H438" s="730"/>
      <c r="I438" s="730"/>
      <c r="J438" s="124"/>
      <c r="K438" s="17" t="str">
        <f t="shared" si="9"/>
        <v/>
      </c>
    </row>
    <row r="439" spans="3:12" hidden="1" outlineLevel="2" x14ac:dyDescent="0.3">
      <c r="C439" s="199">
        <v>5</v>
      </c>
      <c r="D439" s="847"/>
      <c r="E439" s="847"/>
      <c r="F439" s="847"/>
      <c r="G439" s="730"/>
      <c r="H439" s="730"/>
      <c r="I439" s="730"/>
      <c r="J439" s="124"/>
      <c r="K439" s="17" t="str">
        <f t="shared" si="9"/>
        <v/>
      </c>
    </row>
    <row r="440" spans="3:12" hidden="1" outlineLevel="2" x14ac:dyDescent="0.3">
      <c r="C440" s="199">
        <v>6</v>
      </c>
      <c r="D440" s="742"/>
      <c r="E440" s="742"/>
      <c r="F440" s="742"/>
      <c r="G440" s="730"/>
      <c r="H440" s="730"/>
      <c r="I440" s="730"/>
      <c r="J440" s="124"/>
      <c r="K440" s="17" t="str">
        <f t="shared" si="9"/>
        <v/>
      </c>
    </row>
    <row r="441" spans="3:12" hidden="1" outlineLevel="2" x14ac:dyDescent="0.3">
      <c r="C441" s="199">
        <v>7</v>
      </c>
      <c r="D441" s="742"/>
      <c r="E441" s="742"/>
      <c r="F441" s="742"/>
      <c r="G441" s="730"/>
      <c r="H441" s="730"/>
      <c r="I441" s="730"/>
      <c r="J441" s="124"/>
      <c r="K441" s="17" t="str">
        <f t="shared" si="9"/>
        <v/>
      </c>
    </row>
    <row r="442" spans="3:12" hidden="1" outlineLevel="2" x14ac:dyDescent="0.3">
      <c r="C442" s="199">
        <v>8</v>
      </c>
      <c r="D442" s="742"/>
      <c r="E442" s="742"/>
      <c r="F442" s="742"/>
      <c r="G442" s="730"/>
      <c r="H442" s="730"/>
      <c r="I442" s="730"/>
      <c r="J442" s="124"/>
      <c r="K442" s="17" t="str">
        <f t="shared" si="9"/>
        <v/>
      </c>
    </row>
    <row r="443" spans="3:12" hidden="1" outlineLevel="2" x14ac:dyDescent="0.3">
      <c r="C443" s="199">
        <v>9</v>
      </c>
      <c r="D443" s="742"/>
      <c r="E443" s="742"/>
      <c r="F443" s="742"/>
      <c r="G443" s="730"/>
      <c r="H443" s="730"/>
      <c r="I443" s="730"/>
      <c r="J443" s="124"/>
      <c r="K443" s="17" t="str">
        <f t="shared" si="9"/>
        <v/>
      </c>
    </row>
    <row r="444" spans="3:12" hidden="1" outlineLevel="2" x14ac:dyDescent="0.3">
      <c r="C444" s="199">
        <v>10</v>
      </c>
      <c r="D444" s="742"/>
      <c r="E444" s="742"/>
      <c r="F444" s="742"/>
      <c r="G444" s="730"/>
      <c r="H444" s="730"/>
      <c r="I444" s="730"/>
      <c r="J444" s="124"/>
      <c r="K444" s="17" t="str">
        <f t="shared" si="9"/>
        <v/>
      </c>
    </row>
    <row r="445" spans="3:12" hidden="1" outlineLevel="2" x14ac:dyDescent="0.3">
      <c r="C445" s="199">
        <v>11</v>
      </c>
      <c r="D445" s="731"/>
      <c r="E445" s="732"/>
      <c r="F445" s="733"/>
      <c r="G445" s="730"/>
      <c r="H445" s="730"/>
      <c r="I445" s="730"/>
      <c r="J445" s="124"/>
      <c r="K445" s="17" t="str">
        <f t="shared" si="9"/>
        <v/>
      </c>
    </row>
    <row r="446" spans="3:12" hidden="1" outlineLevel="2" x14ac:dyDescent="0.3">
      <c r="C446" s="199">
        <v>12</v>
      </c>
      <c r="D446" s="731"/>
      <c r="E446" s="732"/>
      <c r="F446" s="733"/>
      <c r="G446" s="730"/>
      <c r="H446" s="730"/>
      <c r="I446" s="730"/>
      <c r="J446" s="124"/>
      <c r="K446" s="17" t="str">
        <f t="shared" si="9"/>
        <v/>
      </c>
    </row>
    <row r="447" spans="3:12" hidden="1" outlineLevel="2" x14ac:dyDescent="0.3">
      <c r="C447" s="199">
        <v>13</v>
      </c>
      <c r="D447" s="731"/>
      <c r="E447" s="732"/>
      <c r="F447" s="733"/>
      <c r="G447" s="730"/>
      <c r="H447" s="730"/>
      <c r="I447" s="730"/>
      <c r="J447" s="124"/>
      <c r="K447" s="17" t="str">
        <f t="shared" si="9"/>
        <v/>
      </c>
    </row>
    <row r="448" spans="3:12" hidden="1" outlineLevel="2" x14ac:dyDescent="0.3">
      <c r="C448" s="199">
        <v>14</v>
      </c>
      <c r="D448" s="731"/>
      <c r="E448" s="732"/>
      <c r="F448" s="733"/>
      <c r="G448" s="730"/>
      <c r="H448" s="730"/>
      <c r="I448" s="730"/>
      <c r="J448" s="124"/>
      <c r="K448" s="17" t="str">
        <f t="shared" si="9"/>
        <v/>
      </c>
    </row>
    <row r="449" spans="3:11" hidden="1" outlineLevel="2" x14ac:dyDescent="0.3">
      <c r="C449" s="199">
        <v>15</v>
      </c>
      <c r="D449" s="731"/>
      <c r="E449" s="732"/>
      <c r="F449" s="733"/>
      <c r="G449" s="730"/>
      <c r="H449" s="730"/>
      <c r="I449" s="730"/>
      <c r="J449" s="124"/>
      <c r="K449" s="17" t="str">
        <f t="shared" si="9"/>
        <v/>
      </c>
    </row>
    <row r="450" spans="3:11" hidden="1" outlineLevel="2" x14ac:dyDescent="0.3">
      <c r="C450" s="199">
        <v>16</v>
      </c>
      <c r="D450" s="731"/>
      <c r="E450" s="732"/>
      <c r="F450" s="733"/>
      <c r="G450" s="730"/>
      <c r="H450" s="730"/>
      <c r="I450" s="730"/>
      <c r="J450" s="124"/>
      <c r="K450" s="17" t="str">
        <f t="shared" si="9"/>
        <v/>
      </c>
    </row>
    <row r="451" spans="3:11" hidden="1" outlineLevel="2" x14ac:dyDescent="0.3">
      <c r="C451" s="199">
        <v>17</v>
      </c>
      <c r="D451" s="731"/>
      <c r="E451" s="732"/>
      <c r="F451" s="733"/>
      <c r="G451" s="730"/>
      <c r="H451" s="730"/>
      <c r="I451" s="730"/>
      <c r="J451" s="124"/>
      <c r="K451" s="17" t="str">
        <f t="shared" si="9"/>
        <v/>
      </c>
    </row>
    <row r="452" spans="3:11" hidden="1" outlineLevel="2" x14ac:dyDescent="0.3">
      <c r="C452" s="199">
        <v>18</v>
      </c>
      <c r="D452" s="731"/>
      <c r="E452" s="732"/>
      <c r="F452" s="733"/>
      <c r="G452" s="730"/>
      <c r="H452" s="730"/>
      <c r="I452" s="730"/>
      <c r="J452" s="124"/>
      <c r="K452" s="17" t="str">
        <f t="shared" si="9"/>
        <v/>
      </c>
    </row>
    <row r="453" spans="3:11" hidden="1" outlineLevel="2" x14ac:dyDescent="0.3">
      <c r="C453" s="199">
        <v>19</v>
      </c>
      <c r="D453" s="731"/>
      <c r="E453" s="732"/>
      <c r="F453" s="733"/>
      <c r="G453" s="730"/>
      <c r="H453" s="730"/>
      <c r="I453" s="730"/>
      <c r="J453" s="124"/>
      <c r="K453" s="17" t="str">
        <f t="shared" si="9"/>
        <v/>
      </c>
    </row>
    <row r="454" spans="3:11" hidden="1" outlineLevel="2" x14ac:dyDescent="0.3">
      <c r="C454" s="199">
        <v>20</v>
      </c>
      <c r="D454" s="731"/>
      <c r="E454" s="732"/>
      <c r="F454" s="733"/>
      <c r="G454" s="730"/>
      <c r="H454" s="730"/>
      <c r="I454" s="730"/>
      <c r="J454" s="124"/>
      <c r="K454" s="17" t="str">
        <f t="shared" si="9"/>
        <v/>
      </c>
    </row>
    <row r="455" spans="3:11" hidden="1" outlineLevel="2" x14ac:dyDescent="0.3">
      <c r="C455" s="199">
        <v>21</v>
      </c>
      <c r="D455" s="731"/>
      <c r="E455" s="732"/>
      <c r="F455" s="733"/>
      <c r="G455" s="730"/>
      <c r="H455" s="730"/>
      <c r="I455" s="730"/>
      <c r="J455" s="124"/>
      <c r="K455" s="17" t="str">
        <f t="shared" si="9"/>
        <v/>
      </c>
    </row>
    <row r="456" spans="3:11" hidden="1" outlineLevel="2" x14ac:dyDescent="0.3">
      <c r="C456" s="199">
        <v>22</v>
      </c>
      <c r="D456" s="731"/>
      <c r="E456" s="732"/>
      <c r="F456" s="733"/>
      <c r="G456" s="730"/>
      <c r="H456" s="730"/>
      <c r="I456" s="730"/>
      <c r="J456" s="124"/>
      <c r="K456" s="17" t="str">
        <f t="shared" si="9"/>
        <v/>
      </c>
    </row>
    <row r="457" spans="3:11" hidden="1" outlineLevel="2" x14ac:dyDescent="0.3">
      <c r="C457" s="199">
        <v>23</v>
      </c>
      <c r="D457" s="731"/>
      <c r="E457" s="732"/>
      <c r="F457" s="733"/>
      <c r="G457" s="730"/>
      <c r="H457" s="730"/>
      <c r="I457" s="730"/>
      <c r="J457" s="124"/>
      <c r="K457" s="17" t="str">
        <f t="shared" si="9"/>
        <v/>
      </c>
    </row>
    <row r="458" spans="3:11" hidden="1" outlineLevel="2" x14ac:dyDescent="0.3">
      <c r="C458" s="199">
        <v>24</v>
      </c>
      <c r="D458" s="731"/>
      <c r="E458" s="732"/>
      <c r="F458" s="733"/>
      <c r="G458" s="730"/>
      <c r="H458" s="730"/>
      <c r="I458" s="730"/>
      <c r="J458" s="124"/>
      <c r="K458" s="17" t="str">
        <f t="shared" si="9"/>
        <v/>
      </c>
    </row>
    <row r="459" spans="3:11" hidden="1" outlineLevel="2" x14ac:dyDescent="0.3">
      <c r="C459" s="199">
        <v>25</v>
      </c>
      <c r="D459" s="731"/>
      <c r="E459" s="732"/>
      <c r="F459" s="733"/>
      <c r="G459" s="730"/>
      <c r="H459" s="730"/>
      <c r="I459" s="730"/>
      <c r="J459" s="124"/>
      <c r="K459" s="17" t="str">
        <f t="shared" si="9"/>
        <v/>
      </c>
    </row>
    <row r="460" spans="3:11" hidden="1" outlineLevel="2" x14ac:dyDescent="0.3">
      <c r="C460" s="199">
        <v>26</v>
      </c>
      <c r="D460" s="731"/>
      <c r="E460" s="732"/>
      <c r="F460" s="733"/>
      <c r="G460" s="730"/>
      <c r="H460" s="730"/>
      <c r="I460" s="730"/>
      <c r="J460" s="124"/>
      <c r="K460" s="17" t="str">
        <f t="shared" si="9"/>
        <v/>
      </c>
    </row>
    <row r="461" spans="3:11" hidden="1" outlineLevel="2" x14ac:dyDescent="0.3">
      <c r="C461" s="199">
        <v>27</v>
      </c>
      <c r="D461" s="731"/>
      <c r="E461" s="732"/>
      <c r="F461" s="733"/>
      <c r="G461" s="730"/>
      <c r="H461" s="730"/>
      <c r="I461" s="730"/>
      <c r="J461" s="124"/>
      <c r="K461" s="17" t="str">
        <f t="shared" si="9"/>
        <v/>
      </c>
    </row>
    <row r="462" spans="3:11" hidden="1" outlineLevel="2" x14ac:dyDescent="0.3">
      <c r="C462" s="199">
        <v>28</v>
      </c>
      <c r="D462" s="731"/>
      <c r="E462" s="732"/>
      <c r="F462" s="733"/>
      <c r="G462" s="730"/>
      <c r="H462" s="730"/>
      <c r="I462" s="730"/>
      <c r="J462" s="124"/>
      <c r="K462" s="17" t="str">
        <f t="shared" si="9"/>
        <v/>
      </c>
    </row>
    <row r="463" spans="3:11" hidden="1" outlineLevel="2" x14ac:dyDescent="0.3">
      <c r="C463" s="199">
        <v>29</v>
      </c>
      <c r="D463" s="731"/>
      <c r="E463" s="732"/>
      <c r="F463" s="733"/>
      <c r="G463" s="730"/>
      <c r="H463" s="730"/>
      <c r="I463" s="730"/>
      <c r="J463" s="124"/>
      <c r="K463" s="17" t="str">
        <f t="shared" si="9"/>
        <v/>
      </c>
    </row>
    <row r="464" spans="3:11" hidden="1" outlineLevel="2" x14ac:dyDescent="0.3">
      <c r="C464" s="199">
        <v>30</v>
      </c>
      <c r="D464" s="731"/>
      <c r="E464" s="732"/>
      <c r="F464" s="733"/>
      <c r="G464" s="730"/>
      <c r="H464" s="730"/>
      <c r="I464" s="730"/>
      <c r="J464" s="124"/>
      <c r="K464" s="17" t="str">
        <f t="shared" si="9"/>
        <v/>
      </c>
    </row>
    <row r="465" spans="3:11" hidden="1" outlineLevel="2" x14ac:dyDescent="0.3">
      <c r="C465" s="199">
        <v>31</v>
      </c>
      <c r="D465" s="731"/>
      <c r="E465" s="732"/>
      <c r="F465" s="733"/>
      <c r="G465" s="730"/>
      <c r="H465" s="730"/>
      <c r="I465" s="730"/>
      <c r="J465" s="124"/>
      <c r="K465" s="17" t="str">
        <f t="shared" si="9"/>
        <v/>
      </c>
    </row>
    <row r="466" spans="3:11" hidden="1" outlineLevel="2" x14ac:dyDescent="0.3">
      <c r="C466" s="199">
        <v>32</v>
      </c>
      <c r="D466" s="731"/>
      <c r="E466" s="732"/>
      <c r="F466" s="733"/>
      <c r="G466" s="730"/>
      <c r="H466" s="730"/>
      <c r="I466" s="730"/>
      <c r="J466" s="124"/>
      <c r="K466" s="17" t="str">
        <f t="shared" si="9"/>
        <v/>
      </c>
    </row>
    <row r="467" spans="3:11" hidden="1" outlineLevel="2" x14ac:dyDescent="0.3">
      <c r="C467" s="199">
        <v>33</v>
      </c>
      <c r="D467" s="731"/>
      <c r="E467" s="732"/>
      <c r="F467" s="733"/>
      <c r="G467" s="730"/>
      <c r="H467" s="730"/>
      <c r="I467" s="730"/>
      <c r="J467" s="124"/>
      <c r="K467" s="17" t="str">
        <f t="shared" si="9"/>
        <v/>
      </c>
    </row>
    <row r="468" spans="3:11" hidden="1" outlineLevel="2" x14ac:dyDescent="0.3">
      <c r="C468" s="199">
        <v>34</v>
      </c>
      <c r="D468" s="731"/>
      <c r="E468" s="732"/>
      <c r="F468" s="733"/>
      <c r="G468" s="730"/>
      <c r="H468" s="730"/>
      <c r="I468" s="730"/>
      <c r="J468" s="124"/>
      <c r="K468" s="17" t="str">
        <f t="shared" si="9"/>
        <v/>
      </c>
    </row>
    <row r="469" spans="3:11" hidden="1" outlineLevel="2" x14ac:dyDescent="0.3">
      <c r="C469" s="199">
        <v>35</v>
      </c>
      <c r="D469" s="731"/>
      <c r="E469" s="732"/>
      <c r="F469" s="733"/>
      <c r="G469" s="730"/>
      <c r="H469" s="730"/>
      <c r="I469" s="730"/>
      <c r="J469" s="124"/>
      <c r="K469" s="17" t="str">
        <f t="shared" si="9"/>
        <v/>
      </c>
    </row>
    <row r="470" spans="3:11" hidden="1" outlineLevel="2" x14ac:dyDescent="0.3">
      <c r="C470" s="199">
        <v>36</v>
      </c>
      <c r="D470" s="731"/>
      <c r="E470" s="732"/>
      <c r="F470" s="733"/>
      <c r="G470" s="730"/>
      <c r="H470" s="730"/>
      <c r="I470" s="730"/>
      <c r="J470" s="124"/>
      <c r="K470" s="17" t="str">
        <f t="shared" si="9"/>
        <v/>
      </c>
    </row>
    <row r="471" spans="3:11" hidden="1" outlineLevel="2" x14ac:dyDescent="0.3">
      <c r="C471" s="199">
        <v>37</v>
      </c>
      <c r="D471" s="731"/>
      <c r="E471" s="732"/>
      <c r="F471" s="733"/>
      <c r="G471" s="730"/>
      <c r="H471" s="730"/>
      <c r="I471" s="730"/>
      <c r="J471" s="124"/>
      <c r="K471" s="17" t="str">
        <f t="shared" si="9"/>
        <v/>
      </c>
    </row>
    <row r="472" spans="3:11" hidden="1" outlineLevel="2" x14ac:dyDescent="0.3">
      <c r="C472" s="199">
        <v>38</v>
      </c>
      <c r="D472" s="731"/>
      <c r="E472" s="732"/>
      <c r="F472" s="733"/>
      <c r="G472" s="730"/>
      <c r="H472" s="730"/>
      <c r="I472" s="730"/>
      <c r="J472" s="124"/>
      <c r="K472" s="17" t="str">
        <f t="shared" si="9"/>
        <v/>
      </c>
    </row>
    <row r="473" spans="3:11" hidden="1" outlineLevel="2" x14ac:dyDescent="0.3">
      <c r="C473" s="199">
        <v>39</v>
      </c>
      <c r="D473" s="731"/>
      <c r="E473" s="732"/>
      <c r="F473" s="733"/>
      <c r="G473" s="730"/>
      <c r="H473" s="730"/>
      <c r="I473" s="730"/>
      <c r="J473" s="124"/>
      <c r="K473" s="17" t="str">
        <f t="shared" si="9"/>
        <v/>
      </c>
    </row>
    <row r="474" spans="3:11" hidden="1" outlineLevel="2" x14ac:dyDescent="0.3">
      <c r="C474" s="199">
        <v>40</v>
      </c>
      <c r="D474" s="731"/>
      <c r="E474" s="732"/>
      <c r="F474" s="733"/>
      <c r="G474" s="730"/>
      <c r="H474" s="730"/>
      <c r="I474" s="730"/>
      <c r="J474" s="124"/>
      <c r="K474" s="17" t="str">
        <f t="shared" si="9"/>
        <v/>
      </c>
    </row>
    <row r="475" spans="3:11" hidden="1" outlineLevel="2" x14ac:dyDescent="0.3">
      <c r="C475" s="199">
        <v>41</v>
      </c>
      <c r="D475" s="731"/>
      <c r="E475" s="732"/>
      <c r="F475" s="733"/>
      <c r="G475" s="730"/>
      <c r="H475" s="730"/>
      <c r="I475" s="730"/>
      <c r="J475" s="124"/>
      <c r="K475" s="17" t="str">
        <f t="shared" si="9"/>
        <v/>
      </c>
    </row>
    <row r="476" spans="3:11" hidden="1" outlineLevel="2" x14ac:dyDescent="0.3">
      <c r="C476" s="199">
        <v>42</v>
      </c>
      <c r="D476" s="731"/>
      <c r="E476" s="732"/>
      <c r="F476" s="733"/>
      <c r="G476" s="730"/>
      <c r="H476" s="730"/>
      <c r="I476" s="730"/>
      <c r="J476" s="124"/>
      <c r="K476" s="17" t="str">
        <f t="shared" si="9"/>
        <v/>
      </c>
    </row>
    <row r="477" spans="3:11" hidden="1" outlineLevel="2" x14ac:dyDescent="0.3">
      <c r="C477" s="199">
        <v>43</v>
      </c>
      <c r="D477" s="731"/>
      <c r="E477" s="732"/>
      <c r="F477" s="733"/>
      <c r="G477" s="730"/>
      <c r="H477" s="730"/>
      <c r="I477" s="730"/>
      <c r="J477" s="124"/>
      <c r="K477" s="17" t="str">
        <f t="shared" si="9"/>
        <v/>
      </c>
    </row>
    <row r="478" spans="3:11" hidden="1" outlineLevel="2" x14ac:dyDescent="0.3">
      <c r="C478" s="199">
        <v>44</v>
      </c>
      <c r="D478" s="731"/>
      <c r="E478" s="732"/>
      <c r="F478" s="733"/>
      <c r="G478" s="730"/>
      <c r="H478" s="730"/>
      <c r="I478" s="730"/>
      <c r="J478" s="124"/>
      <c r="K478" s="17" t="str">
        <f t="shared" si="9"/>
        <v/>
      </c>
    </row>
    <row r="479" spans="3:11" hidden="1" outlineLevel="2" x14ac:dyDescent="0.3">
      <c r="C479" s="199">
        <v>45</v>
      </c>
      <c r="D479" s="731"/>
      <c r="E479" s="732"/>
      <c r="F479" s="733"/>
      <c r="G479" s="730"/>
      <c r="H479" s="730"/>
      <c r="I479" s="730"/>
      <c r="J479" s="124"/>
      <c r="K479" s="17" t="str">
        <f t="shared" si="9"/>
        <v/>
      </c>
    </row>
    <row r="480" spans="3:11" hidden="1" outlineLevel="2" x14ac:dyDescent="0.3">
      <c r="C480" s="199">
        <v>46</v>
      </c>
      <c r="D480" s="731"/>
      <c r="E480" s="732"/>
      <c r="F480" s="733"/>
      <c r="G480" s="730"/>
      <c r="H480" s="730"/>
      <c r="I480" s="730"/>
      <c r="J480" s="124"/>
      <c r="K480" s="17" t="str">
        <f t="shared" si="9"/>
        <v/>
      </c>
    </row>
    <row r="481" spans="3:11" hidden="1" outlineLevel="2" x14ac:dyDescent="0.3">
      <c r="C481" s="199">
        <v>47</v>
      </c>
      <c r="D481" s="731"/>
      <c r="E481" s="732"/>
      <c r="F481" s="733"/>
      <c r="G481" s="730"/>
      <c r="H481" s="730"/>
      <c r="I481" s="730"/>
      <c r="J481" s="124"/>
      <c r="K481" s="17" t="str">
        <f t="shared" si="9"/>
        <v/>
      </c>
    </row>
    <row r="482" spans="3:11" hidden="1" outlineLevel="2" x14ac:dyDescent="0.3">
      <c r="C482" s="199">
        <v>48</v>
      </c>
      <c r="D482" s="731"/>
      <c r="E482" s="732"/>
      <c r="F482" s="733"/>
      <c r="G482" s="730"/>
      <c r="H482" s="730"/>
      <c r="I482" s="730"/>
      <c r="J482" s="124"/>
      <c r="K482" s="17" t="str">
        <f t="shared" si="9"/>
        <v/>
      </c>
    </row>
    <row r="483" spans="3:11" hidden="1" outlineLevel="2" x14ac:dyDescent="0.3">
      <c r="C483" s="199">
        <v>49</v>
      </c>
      <c r="D483" s="731"/>
      <c r="E483" s="732"/>
      <c r="F483" s="733"/>
      <c r="G483" s="730"/>
      <c r="H483" s="730"/>
      <c r="I483" s="730"/>
      <c r="J483" s="124"/>
      <c r="K483" s="17" t="str">
        <f t="shared" si="9"/>
        <v/>
      </c>
    </row>
    <row r="484" spans="3:11" hidden="1" outlineLevel="2" x14ac:dyDescent="0.3">
      <c r="C484" s="199">
        <v>50</v>
      </c>
      <c r="D484" s="731"/>
      <c r="E484" s="732"/>
      <c r="F484" s="733"/>
      <c r="G484" s="730"/>
      <c r="H484" s="730"/>
      <c r="I484" s="730"/>
      <c r="J484" s="124"/>
      <c r="K484" s="17" t="str">
        <f t="shared" si="9"/>
        <v/>
      </c>
    </row>
    <row r="485" spans="3:11" hidden="1" outlineLevel="2" x14ac:dyDescent="0.3">
      <c r="C485" s="199">
        <v>51</v>
      </c>
      <c r="D485" s="731"/>
      <c r="E485" s="732"/>
      <c r="F485" s="733"/>
      <c r="G485" s="730"/>
      <c r="H485" s="730"/>
      <c r="I485" s="730"/>
      <c r="J485" s="124"/>
      <c r="K485" s="17" t="str">
        <f t="shared" si="9"/>
        <v/>
      </c>
    </row>
    <row r="486" spans="3:11" hidden="1" outlineLevel="2" x14ac:dyDescent="0.3">
      <c r="C486" s="199">
        <v>52</v>
      </c>
      <c r="D486" s="731"/>
      <c r="E486" s="732"/>
      <c r="F486" s="733"/>
      <c r="G486" s="730"/>
      <c r="H486" s="730"/>
      <c r="I486" s="730"/>
      <c r="J486" s="124"/>
      <c r="K486" s="17" t="str">
        <f t="shared" si="9"/>
        <v/>
      </c>
    </row>
    <row r="487" spans="3:11" hidden="1" outlineLevel="2" x14ac:dyDescent="0.3">
      <c r="C487" s="199">
        <v>53</v>
      </c>
      <c r="D487" s="731"/>
      <c r="E487" s="732"/>
      <c r="F487" s="733"/>
      <c r="G487" s="730"/>
      <c r="H487" s="730"/>
      <c r="I487" s="730"/>
      <c r="J487" s="124"/>
      <c r="K487" s="17" t="str">
        <f t="shared" si="9"/>
        <v/>
      </c>
    </row>
    <row r="488" spans="3:11" hidden="1" outlineLevel="2" x14ac:dyDescent="0.3">
      <c r="C488" s="199">
        <v>54</v>
      </c>
      <c r="D488" s="731"/>
      <c r="E488" s="732"/>
      <c r="F488" s="733"/>
      <c r="G488" s="730"/>
      <c r="H488" s="730"/>
      <c r="I488" s="730"/>
      <c r="J488" s="124"/>
      <c r="K488" s="17" t="str">
        <f t="shared" si="9"/>
        <v/>
      </c>
    </row>
    <row r="489" spans="3:11" hidden="1" outlineLevel="2" x14ac:dyDescent="0.3">
      <c r="C489" s="199">
        <v>55</v>
      </c>
      <c r="D489" s="731"/>
      <c r="E489" s="732"/>
      <c r="F489" s="733"/>
      <c r="G489" s="730"/>
      <c r="H489" s="730"/>
      <c r="I489" s="730"/>
      <c r="J489" s="124"/>
      <c r="K489" s="17" t="str">
        <f t="shared" si="9"/>
        <v/>
      </c>
    </row>
    <row r="490" spans="3:11" hidden="1" outlineLevel="2" x14ac:dyDescent="0.3">
      <c r="C490" s="199">
        <v>56</v>
      </c>
      <c r="D490" s="731"/>
      <c r="E490" s="732"/>
      <c r="F490" s="733"/>
      <c r="G490" s="730"/>
      <c r="H490" s="730"/>
      <c r="I490" s="730"/>
      <c r="J490" s="124"/>
      <c r="K490" s="17" t="str">
        <f t="shared" si="9"/>
        <v/>
      </c>
    </row>
    <row r="491" spans="3:11" hidden="1" outlineLevel="2" x14ac:dyDescent="0.3">
      <c r="C491" s="199">
        <v>57</v>
      </c>
      <c r="D491" s="731"/>
      <c r="E491" s="732"/>
      <c r="F491" s="733"/>
      <c r="G491" s="730"/>
      <c r="H491" s="730"/>
      <c r="I491" s="730"/>
      <c r="J491" s="124"/>
      <c r="K491" s="17" t="str">
        <f t="shared" si="9"/>
        <v/>
      </c>
    </row>
    <row r="492" spans="3:11" hidden="1" outlineLevel="2" x14ac:dyDescent="0.3">
      <c r="C492" s="199">
        <v>58</v>
      </c>
      <c r="D492" s="731"/>
      <c r="E492" s="732"/>
      <c r="F492" s="733"/>
      <c r="G492" s="730"/>
      <c r="H492" s="730"/>
      <c r="I492" s="730"/>
      <c r="J492" s="124"/>
      <c r="K492" s="17" t="str">
        <f t="shared" si="9"/>
        <v/>
      </c>
    </row>
    <row r="493" spans="3:11" hidden="1" outlineLevel="2" x14ac:dyDescent="0.3">
      <c r="C493" s="199">
        <v>59</v>
      </c>
      <c r="D493" s="731"/>
      <c r="E493" s="732"/>
      <c r="F493" s="733"/>
      <c r="G493" s="730"/>
      <c r="H493" s="730"/>
      <c r="I493" s="730"/>
      <c r="J493" s="124"/>
      <c r="K493" s="17" t="str">
        <f t="shared" si="9"/>
        <v/>
      </c>
    </row>
    <row r="494" spans="3:11" hidden="1" outlineLevel="2" x14ac:dyDescent="0.3">
      <c r="C494" s="199">
        <v>60</v>
      </c>
      <c r="D494" s="731"/>
      <c r="E494" s="732"/>
      <c r="F494" s="733"/>
      <c r="G494" s="730"/>
      <c r="H494" s="730"/>
      <c r="I494" s="730"/>
      <c r="J494" s="124"/>
      <c r="K494" s="17" t="str">
        <f t="shared" si="9"/>
        <v/>
      </c>
    </row>
    <row r="495" spans="3:11" hidden="1" outlineLevel="2" x14ac:dyDescent="0.3">
      <c r="C495" s="199">
        <v>61</v>
      </c>
      <c r="D495" s="731"/>
      <c r="E495" s="732"/>
      <c r="F495" s="733"/>
      <c r="G495" s="730"/>
      <c r="H495" s="730"/>
      <c r="I495" s="730"/>
      <c r="J495" s="124"/>
      <c r="K495" s="17" t="str">
        <f t="shared" si="9"/>
        <v/>
      </c>
    </row>
    <row r="496" spans="3:11" hidden="1" outlineLevel="2" x14ac:dyDescent="0.3">
      <c r="C496" s="199">
        <v>62</v>
      </c>
      <c r="D496" s="731"/>
      <c r="E496" s="732"/>
      <c r="F496" s="733"/>
      <c r="G496" s="730"/>
      <c r="H496" s="730"/>
      <c r="I496" s="730"/>
      <c r="J496" s="124"/>
      <c r="K496" s="17" t="str">
        <f t="shared" si="9"/>
        <v/>
      </c>
    </row>
    <row r="497" spans="3:11" hidden="1" outlineLevel="2" x14ac:dyDescent="0.3">
      <c r="C497" s="199">
        <v>63</v>
      </c>
      <c r="D497" s="731"/>
      <c r="E497" s="732"/>
      <c r="F497" s="733"/>
      <c r="G497" s="730"/>
      <c r="H497" s="730"/>
      <c r="I497" s="730"/>
      <c r="J497" s="124"/>
      <c r="K497" s="17" t="str">
        <f t="shared" si="9"/>
        <v/>
      </c>
    </row>
    <row r="498" spans="3:11" hidden="1" outlineLevel="2" x14ac:dyDescent="0.3">
      <c r="C498" s="199">
        <v>64</v>
      </c>
      <c r="D498" s="731"/>
      <c r="E498" s="732"/>
      <c r="F498" s="733"/>
      <c r="G498" s="730"/>
      <c r="H498" s="730"/>
      <c r="I498" s="730"/>
      <c r="J498" s="124"/>
      <c r="K498" s="17" t="str">
        <f t="shared" si="9"/>
        <v/>
      </c>
    </row>
    <row r="499" spans="3:11" hidden="1" outlineLevel="2" x14ac:dyDescent="0.3">
      <c r="C499" s="199">
        <v>65</v>
      </c>
      <c r="D499" s="731"/>
      <c r="E499" s="732"/>
      <c r="F499" s="733"/>
      <c r="G499" s="730"/>
      <c r="H499" s="730"/>
      <c r="I499" s="730"/>
      <c r="J499" s="124"/>
      <c r="K499" s="17" t="str">
        <f t="shared" si="9"/>
        <v/>
      </c>
    </row>
    <row r="500" spans="3:11" hidden="1" outlineLevel="2" x14ac:dyDescent="0.3">
      <c r="C500" s="199">
        <v>66</v>
      </c>
      <c r="D500" s="731"/>
      <c r="E500" s="732"/>
      <c r="F500" s="733"/>
      <c r="G500" s="730"/>
      <c r="H500" s="730"/>
      <c r="I500" s="730"/>
      <c r="J500" s="124"/>
      <c r="K500" s="17" t="str">
        <f t="shared" si="9"/>
        <v/>
      </c>
    </row>
    <row r="501" spans="3:11" hidden="1" outlineLevel="2" x14ac:dyDescent="0.3">
      <c r="C501" s="199">
        <v>67</v>
      </c>
      <c r="D501" s="731"/>
      <c r="E501" s="732"/>
      <c r="F501" s="733"/>
      <c r="G501" s="730"/>
      <c r="H501" s="730"/>
      <c r="I501" s="730"/>
      <c r="J501" s="124"/>
      <c r="K501" s="17" t="str">
        <f t="shared" si="9"/>
        <v/>
      </c>
    </row>
    <row r="502" spans="3:11" hidden="1" outlineLevel="2" x14ac:dyDescent="0.3">
      <c r="C502" s="199">
        <v>68</v>
      </c>
      <c r="D502" s="731"/>
      <c r="E502" s="732"/>
      <c r="F502" s="733"/>
      <c r="G502" s="730"/>
      <c r="H502" s="730"/>
      <c r="I502" s="730"/>
      <c r="J502" s="124"/>
      <c r="K502" s="17" t="str">
        <f t="shared" si="9"/>
        <v/>
      </c>
    </row>
    <row r="503" spans="3:11" hidden="1" outlineLevel="2" x14ac:dyDescent="0.3">
      <c r="C503" s="199">
        <v>69</v>
      </c>
      <c r="D503" s="731"/>
      <c r="E503" s="732"/>
      <c r="F503" s="733"/>
      <c r="G503" s="730"/>
      <c r="H503" s="730"/>
      <c r="I503" s="730"/>
      <c r="J503" s="124"/>
      <c r="K503" s="17" t="str">
        <f t="shared" si="9"/>
        <v/>
      </c>
    </row>
    <row r="504" spans="3:11" hidden="1" outlineLevel="2" x14ac:dyDescent="0.3">
      <c r="C504" s="199">
        <v>70</v>
      </c>
      <c r="D504" s="731"/>
      <c r="E504" s="732"/>
      <c r="F504" s="733"/>
      <c r="G504" s="730"/>
      <c r="H504" s="730"/>
      <c r="I504" s="730"/>
      <c r="J504" s="124"/>
      <c r="K504" s="17" t="str">
        <f t="shared" si="9"/>
        <v/>
      </c>
    </row>
    <row r="505" spans="3:11" hidden="1" outlineLevel="2" x14ac:dyDescent="0.3">
      <c r="C505" s="199">
        <v>71</v>
      </c>
      <c r="D505" s="731"/>
      <c r="E505" s="732"/>
      <c r="F505" s="733"/>
      <c r="G505" s="730"/>
      <c r="H505" s="730"/>
      <c r="I505" s="730"/>
      <c r="J505" s="124"/>
      <c r="K505" s="17" t="str">
        <f t="shared" si="9"/>
        <v/>
      </c>
    </row>
    <row r="506" spans="3:11" hidden="1" outlineLevel="2" x14ac:dyDescent="0.3">
      <c r="C506" s="199">
        <v>72</v>
      </c>
      <c r="D506" s="731"/>
      <c r="E506" s="732"/>
      <c r="F506" s="733"/>
      <c r="G506" s="730"/>
      <c r="H506" s="730"/>
      <c r="I506" s="730"/>
      <c r="J506" s="124"/>
      <c r="K506" s="17" t="str">
        <f t="shared" si="9"/>
        <v/>
      </c>
    </row>
    <row r="507" spans="3:11" hidden="1" outlineLevel="2" x14ac:dyDescent="0.3">
      <c r="C507" s="199">
        <v>73</v>
      </c>
      <c r="D507" s="731"/>
      <c r="E507" s="732"/>
      <c r="F507" s="733"/>
      <c r="G507" s="730"/>
      <c r="H507" s="730"/>
      <c r="I507" s="730"/>
      <c r="J507" s="124"/>
      <c r="K507" s="17" t="str">
        <f t="shared" si="9"/>
        <v/>
      </c>
    </row>
    <row r="508" spans="3:11" hidden="1" outlineLevel="2" x14ac:dyDescent="0.3">
      <c r="C508" s="199">
        <v>74</v>
      </c>
      <c r="D508" s="731"/>
      <c r="E508" s="732"/>
      <c r="F508" s="733"/>
      <c r="G508" s="730"/>
      <c r="H508" s="730"/>
      <c r="I508" s="730"/>
      <c r="J508" s="124"/>
      <c r="K508" s="17" t="str">
        <f t="shared" si="9"/>
        <v/>
      </c>
    </row>
    <row r="509" spans="3:11" hidden="1" outlineLevel="2" x14ac:dyDescent="0.3">
      <c r="C509" s="199">
        <v>75</v>
      </c>
      <c r="D509" s="731"/>
      <c r="E509" s="732"/>
      <c r="F509" s="733"/>
      <c r="G509" s="730"/>
      <c r="H509" s="730"/>
      <c r="I509" s="730"/>
      <c r="J509" s="124"/>
      <c r="K509" s="17" t="str">
        <f t="shared" si="9"/>
        <v/>
      </c>
    </row>
    <row r="510" spans="3:11" hidden="1" outlineLevel="2" x14ac:dyDescent="0.3">
      <c r="C510" s="199">
        <v>76</v>
      </c>
      <c r="D510" s="731"/>
      <c r="E510" s="732"/>
      <c r="F510" s="733"/>
      <c r="G510" s="730"/>
      <c r="H510" s="730"/>
      <c r="I510" s="730"/>
      <c r="J510" s="124"/>
      <c r="K510" s="17" t="str">
        <f t="shared" si="9"/>
        <v/>
      </c>
    </row>
    <row r="511" spans="3:11" hidden="1" outlineLevel="2" x14ac:dyDescent="0.3">
      <c r="C511" s="199">
        <v>77</v>
      </c>
      <c r="D511" s="731"/>
      <c r="E511" s="732"/>
      <c r="F511" s="733"/>
      <c r="G511" s="730"/>
      <c r="H511" s="730"/>
      <c r="I511" s="730"/>
      <c r="J511" s="124"/>
      <c r="K511" s="17" t="str">
        <f t="shared" si="9"/>
        <v/>
      </c>
    </row>
    <row r="512" spans="3:11" hidden="1" outlineLevel="2" x14ac:dyDescent="0.3">
      <c r="C512" s="199">
        <v>78</v>
      </c>
      <c r="D512" s="731"/>
      <c r="E512" s="732"/>
      <c r="F512" s="733"/>
      <c r="G512" s="730"/>
      <c r="H512" s="730"/>
      <c r="I512" s="730"/>
      <c r="J512" s="124"/>
      <c r="K512" s="17" t="str">
        <f t="shared" si="9"/>
        <v/>
      </c>
    </row>
    <row r="513" spans="3:11" hidden="1" outlineLevel="2" x14ac:dyDescent="0.3">
      <c r="C513" s="199">
        <v>79</v>
      </c>
      <c r="D513" s="731"/>
      <c r="E513" s="732"/>
      <c r="F513" s="733"/>
      <c r="G513" s="730"/>
      <c r="H513" s="730"/>
      <c r="I513" s="730"/>
      <c r="J513" s="124"/>
      <c r="K513" s="17" t="str">
        <f t="shared" si="9"/>
        <v/>
      </c>
    </row>
    <row r="514" spans="3:11" hidden="1" outlineLevel="2" x14ac:dyDescent="0.3">
      <c r="C514" s="199">
        <v>80</v>
      </c>
      <c r="D514" s="731"/>
      <c r="E514" s="732"/>
      <c r="F514" s="733"/>
      <c r="G514" s="730"/>
      <c r="H514" s="730"/>
      <c r="I514" s="730"/>
      <c r="J514" s="124"/>
      <c r="K514" s="17" t="str">
        <f t="shared" si="9"/>
        <v/>
      </c>
    </row>
    <row r="515" spans="3:11" hidden="1" outlineLevel="2" x14ac:dyDescent="0.3">
      <c r="C515" s="199">
        <v>81</v>
      </c>
      <c r="D515" s="731"/>
      <c r="E515" s="732"/>
      <c r="F515" s="733"/>
      <c r="G515" s="730"/>
      <c r="H515" s="730"/>
      <c r="I515" s="730"/>
      <c r="J515" s="124"/>
      <c r="K515" s="17" t="str">
        <f t="shared" si="9"/>
        <v/>
      </c>
    </row>
    <row r="516" spans="3:11" hidden="1" outlineLevel="2" x14ac:dyDescent="0.3">
      <c r="C516" s="199">
        <v>82</v>
      </c>
      <c r="D516" s="731"/>
      <c r="E516" s="732"/>
      <c r="F516" s="733"/>
      <c r="G516" s="730"/>
      <c r="H516" s="730"/>
      <c r="I516" s="730"/>
      <c r="J516" s="124"/>
      <c r="K516" s="17" t="str">
        <f t="shared" si="9"/>
        <v/>
      </c>
    </row>
    <row r="517" spans="3:11" hidden="1" outlineLevel="2" x14ac:dyDescent="0.3">
      <c r="C517" s="199">
        <v>83</v>
      </c>
      <c r="D517" s="731"/>
      <c r="E517" s="732"/>
      <c r="F517" s="733"/>
      <c r="G517" s="730"/>
      <c r="H517" s="730"/>
      <c r="I517" s="730"/>
      <c r="J517" s="124"/>
      <c r="K517" s="17" t="str">
        <f t="shared" si="9"/>
        <v/>
      </c>
    </row>
    <row r="518" spans="3:11" hidden="1" outlineLevel="2" x14ac:dyDescent="0.3">
      <c r="C518" s="199">
        <v>84</v>
      </c>
      <c r="D518" s="731"/>
      <c r="E518" s="732"/>
      <c r="F518" s="733"/>
      <c r="G518" s="730"/>
      <c r="H518" s="730"/>
      <c r="I518" s="730"/>
      <c r="J518" s="124"/>
      <c r="K518" s="17" t="str">
        <f t="shared" si="9"/>
        <v/>
      </c>
    </row>
    <row r="519" spans="3:11" hidden="1" outlineLevel="2" x14ac:dyDescent="0.3">
      <c r="C519" s="199">
        <v>85</v>
      </c>
      <c r="D519" s="731"/>
      <c r="E519" s="732"/>
      <c r="F519" s="733"/>
      <c r="G519" s="730"/>
      <c r="H519" s="730"/>
      <c r="I519" s="730"/>
      <c r="J519" s="124"/>
      <c r="K519" s="17" t="str">
        <f t="shared" si="9"/>
        <v/>
      </c>
    </row>
    <row r="520" spans="3:11" hidden="1" outlineLevel="2" x14ac:dyDescent="0.3">
      <c r="C520" s="199">
        <v>86</v>
      </c>
      <c r="D520" s="731"/>
      <c r="E520" s="732"/>
      <c r="F520" s="733"/>
      <c r="G520" s="730"/>
      <c r="H520" s="730"/>
      <c r="I520" s="730"/>
      <c r="J520" s="124"/>
      <c r="K520" s="17" t="str">
        <f t="shared" si="9"/>
        <v/>
      </c>
    </row>
    <row r="521" spans="3:11" hidden="1" outlineLevel="2" x14ac:dyDescent="0.3">
      <c r="C521" s="199">
        <v>87</v>
      </c>
      <c r="D521" s="731"/>
      <c r="E521" s="732"/>
      <c r="F521" s="733"/>
      <c r="G521" s="730"/>
      <c r="H521" s="730"/>
      <c r="I521" s="730"/>
      <c r="J521" s="124"/>
      <c r="K521" s="17" t="str">
        <f t="shared" si="9"/>
        <v/>
      </c>
    </row>
    <row r="522" spans="3:11" hidden="1" outlineLevel="2" x14ac:dyDescent="0.3">
      <c r="C522" s="199">
        <v>88</v>
      </c>
      <c r="D522" s="731"/>
      <c r="E522" s="732"/>
      <c r="F522" s="733"/>
      <c r="G522" s="730"/>
      <c r="H522" s="730"/>
      <c r="I522" s="730"/>
      <c r="J522" s="124"/>
      <c r="K522" s="17" t="str">
        <f t="shared" si="9"/>
        <v/>
      </c>
    </row>
    <row r="523" spans="3:11" hidden="1" outlineLevel="2" x14ac:dyDescent="0.3">
      <c r="C523" s="199">
        <v>89</v>
      </c>
      <c r="D523" s="731"/>
      <c r="E523" s="732"/>
      <c r="F523" s="733"/>
      <c r="G523" s="730"/>
      <c r="H523" s="730"/>
      <c r="I523" s="730"/>
      <c r="J523" s="124"/>
      <c r="K523" s="17" t="str">
        <f t="shared" si="9"/>
        <v/>
      </c>
    </row>
    <row r="524" spans="3:11" hidden="1" outlineLevel="2" x14ac:dyDescent="0.3">
      <c r="C524" s="199">
        <v>90</v>
      </c>
      <c r="D524" s="731"/>
      <c r="E524" s="732"/>
      <c r="F524" s="733"/>
      <c r="G524" s="730"/>
      <c r="H524" s="730"/>
      <c r="I524" s="730"/>
      <c r="J524" s="124"/>
      <c r="K524" s="17" t="str">
        <f t="shared" si="9"/>
        <v/>
      </c>
    </row>
    <row r="525" spans="3:11" hidden="1" outlineLevel="2" x14ac:dyDescent="0.3">
      <c r="C525" s="199">
        <v>91</v>
      </c>
      <c r="D525" s="731"/>
      <c r="E525" s="732"/>
      <c r="F525" s="733"/>
      <c r="G525" s="730"/>
      <c r="H525" s="730"/>
      <c r="I525" s="730"/>
      <c r="J525" s="124"/>
      <c r="K525" s="17" t="str">
        <f t="shared" si="9"/>
        <v/>
      </c>
    </row>
    <row r="526" spans="3:11" hidden="1" outlineLevel="2" x14ac:dyDescent="0.3">
      <c r="C526" s="199">
        <v>92</v>
      </c>
      <c r="D526" s="731"/>
      <c r="E526" s="732"/>
      <c r="F526" s="733"/>
      <c r="G526" s="730"/>
      <c r="H526" s="730"/>
      <c r="I526" s="730"/>
      <c r="J526" s="124"/>
      <c r="K526" s="17" t="str">
        <f t="shared" si="9"/>
        <v/>
      </c>
    </row>
    <row r="527" spans="3:11" hidden="1" outlineLevel="2" x14ac:dyDescent="0.3">
      <c r="C527" s="199">
        <v>93</v>
      </c>
      <c r="D527" s="731"/>
      <c r="E527" s="732"/>
      <c r="F527" s="733"/>
      <c r="G527" s="730"/>
      <c r="H527" s="730"/>
      <c r="I527" s="730"/>
      <c r="J527" s="124"/>
      <c r="K527" s="17" t="str">
        <f t="shared" si="9"/>
        <v/>
      </c>
    </row>
    <row r="528" spans="3:11" hidden="1" outlineLevel="2" x14ac:dyDescent="0.3">
      <c r="C528" s="199">
        <v>94</v>
      </c>
      <c r="D528" s="731"/>
      <c r="E528" s="732"/>
      <c r="F528" s="733"/>
      <c r="G528" s="730"/>
      <c r="H528" s="730"/>
      <c r="I528" s="730"/>
      <c r="J528" s="124"/>
      <c r="K528" s="17" t="str">
        <f t="shared" si="9"/>
        <v/>
      </c>
    </row>
    <row r="529" spans="1:12" hidden="1" outlineLevel="2" x14ac:dyDescent="0.3">
      <c r="C529" s="199">
        <v>95</v>
      </c>
      <c r="D529" s="731"/>
      <c r="E529" s="732"/>
      <c r="F529" s="733"/>
      <c r="G529" s="730"/>
      <c r="H529" s="730"/>
      <c r="I529" s="730"/>
      <c r="J529" s="124"/>
      <c r="K529" s="17" t="str">
        <f t="shared" si="9"/>
        <v/>
      </c>
    </row>
    <row r="530" spans="1:12" hidden="1" outlineLevel="2" x14ac:dyDescent="0.3">
      <c r="C530" s="199">
        <v>96</v>
      </c>
      <c r="D530" s="731"/>
      <c r="E530" s="732"/>
      <c r="F530" s="733"/>
      <c r="G530" s="730"/>
      <c r="H530" s="730"/>
      <c r="I530" s="730"/>
      <c r="J530" s="124"/>
      <c r="K530" s="17" t="str">
        <f t="shared" si="9"/>
        <v/>
      </c>
    </row>
    <row r="531" spans="1:12" hidden="1" outlineLevel="2" x14ac:dyDescent="0.3">
      <c r="C531" s="199">
        <v>97</v>
      </c>
      <c r="D531" s="731"/>
      <c r="E531" s="732"/>
      <c r="F531" s="733"/>
      <c r="G531" s="730"/>
      <c r="H531" s="730"/>
      <c r="I531" s="730"/>
      <c r="J531" s="124"/>
      <c r="K531" s="17" t="str">
        <f t="shared" si="9"/>
        <v/>
      </c>
    </row>
    <row r="532" spans="1:12" hidden="1" outlineLevel="2" x14ac:dyDescent="0.3">
      <c r="C532" s="199">
        <v>98</v>
      </c>
      <c r="D532" s="731"/>
      <c r="E532" s="732"/>
      <c r="F532" s="733"/>
      <c r="G532" s="730"/>
      <c r="H532" s="730"/>
      <c r="I532" s="730"/>
      <c r="J532" s="124"/>
      <c r="K532" s="17" t="str">
        <f t="shared" si="9"/>
        <v/>
      </c>
    </row>
    <row r="533" spans="1:12" hidden="1" outlineLevel="2" x14ac:dyDescent="0.3">
      <c r="C533" s="199">
        <v>99</v>
      </c>
      <c r="D533" s="731"/>
      <c r="E533" s="732"/>
      <c r="F533" s="733"/>
      <c r="G533" s="862"/>
      <c r="H533" s="863"/>
      <c r="I533" s="755"/>
      <c r="J533" s="124"/>
      <c r="K533" s="17" t="str">
        <f t="shared" si="9"/>
        <v/>
      </c>
    </row>
    <row r="534" spans="1:12" hidden="1" outlineLevel="2" x14ac:dyDescent="0.3">
      <c r="C534" s="199">
        <v>100</v>
      </c>
      <c r="D534" s="731"/>
      <c r="E534" s="732"/>
      <c r="F534" s="733"/>
      <c r="G534" s="862"/>
      <c r="H534" s="863"/>
      <c r="I534" s="755"/>
      <c r="J534" s="124"/>
      <c r="K534" s="17" t="str">
        <f t="shared" si="9"/>
        <v/>
      </c>
    </row>
    <row r="535" spans="1:12" collapsed="1" x14ac:dyDescent="0.3">
      <c r="C535" s="845" t="str">
        <f>template_label_total_annual_mass_flow_of_relevant_materials_used_mass</f>
        <v>Total du flux massique annuel des matières pertinentes utilisées (masse en kg)</v>
      </c>
      <c r="D535" s="846"/>
      <c r="E535" s="846"/>
      <c r="F535" s="846"/>
      <c r="G535" s="864" t="str">
        <f>IF(AND(G435="",G436="",J435="",J436="",G437="",J437=""),"-",(SUMIF($J$435:$J$534,"kilograms (kg)",$G$435:$G$534))+((SUMIF($J$435:$J$534,"metric tonnes (t)",$G$435:$G$534))*1000))</f>
        <v>-</v>
      </c>
      <c r="H535" s="864"/>
      <c r="I535" s="864"/>
      <c r="J535" s="122" t="str">
        <f>template_label_kilograms</f>
        <v>kilogrammes (kg)</v>
      </c>
    </row>
    <row r="536" spans="1:12" ht="15" thickBot="1" x14ac:dyDescent="0.35">
      <c r="C536" s="794" t="str">
        <f>template_label_total_annual_mass_flow_of_relevant_materials_used_volume</f>
        <v>Total du flux massique annuel des matières pertinentes utilisées (volume en m³)</v>
      </c>
      <c r="D536" s="795"/>
      <c r="E536" s="795"/>
      <c r="F536" s="795"/>
      <c r="G536" s="758" t="str">
        <f>IF(AND(G435="",G436="",J435="",J436="",G437="",J437=""),"-",SUMIF(J435:J534, "cubic meters (m3)", G435:G534))</f>
        <v>-</v>
      </c>
      <c r="H536" s="758"/>
      <c r="I536" s="758"/>
      <c r="J536" s="120" t="str">
        <f>template_label_cubic_meters</f>
        <v>mètres cubes (m³)</v>
      </c>
      <c r="K536" s="17"/>
    </row>
    <row r="537" spans="1:12" ht="15" thickBot="1" x14ac:dyDescent="0.35"/>
    <row r="538" spans="1:12" ht="15" thickBot="1" x14ac:dyDescent="0.35">
      <c r="C538" s="849" t="str">
        <f>template_label_c4_climate_risks&amp;" "&amp;template_label_from&amp;" "&amp;template_starting_date_display&amp;" "&amp;template_label_to&amp;" "&amp;template_ending_date_display&amp;" "&amp;template_label_if_applicable</f>
        <v>C4 – Risques climatiques du - au - [Le cas échéant]</v>
      </c>
      <c r="D538" s="850"/>
      <c r="E538" s="850"/>
      <c r="F538" s="850"/>
      <c r="G538" s="850"/>
      <c r="H538" s="850"/>
      <c r="I538" s="850"/>
      <c r="J538" s="850"/>
      <c r="K538" s="851"/>
    </row>
    <row r="539" spans="1:12" ht="39.6" customHeight="1" x14ac:dyDescent="0.3">
      <c r="C539" s="858" t="str">
        <f>template_label_has_the_undertaking_identified_climate_related_hazards_and_climate_related_transition_events</f>
        <v>L’entreprise a-t-elle recensé des aléas liés au changement climatique et des événements liés à la transition climatique créant des risques bruts liés au changement climatique pour l’entreprise ?</v>
      </c>
      <c r="D539" s="859"/>
      <c r="E539" s="860" t="b">
        <v>0</v>
      </c>
      <c r="F539" s="860"/>
      <c r="G539" s="860"/>
      <c r="H539" s="860"/>
      <c r="I539" s="860"/>
      <c r="J539" s="860"/>
      <c r="K539" s="861"/>
    </row>
    <row r="540" spans="1:12" x14ac:dyDescent="0.3">
      <c r="A540" s="381" t="s">
        <v>49</v>
      </c>
      <c r="B540" s="382" t="s">
        <v>50</v>
      </c>
      <c r="C540" s="703" t="str">
        <f>template_label_description_of_climate_related_hazards_and_climate_related_transition_events</f>
        <v>Description des aléas liés au changement climatique et des événements liés à la transition climatique</v>
      </c>
      <c r="D540" s="841"/>
      <c r="E540" s="855"/>
      <c r="F540" s="855"/>
      <c r="G540" s="855"/>
      <c r="H540" s="855"/>
      <c r="I540" s="855"/>
      <c r="J540" s="855"/>
      <c r="K540" s="725"/>
      <c r="L540" s="16" t="str">
        <f>IF(AND($E$539=TRUE,E540&lt;&gt;""),
    template_label_ok,
    IF(AND($E$539=TRUE,G540=""),
        template_label_missing_value,
        ""
    )
)</f>
        <v/>
      </c>
    </row>
    <row r="541" spans="1:12" x14ac:dyDescent="0.3">
      <c r="A541" s="381" t="s">
        <v>51</v>
      </c>
      <c r="B541" s="382" t="s">
        <v>50</v>
      </c>
      <c r="C541" s="703" t="str">
        <f>template_label_disclosure_of_how_it_has_assessed_the_exposure_and_sensitivity_of_its_assets</f>
        <v>Information sur comment elle a évalué l’exposition et la sensibilité de ses actifs, de ses activités et de sa chaîne de valeur à ces aléas et à ces événements liés à la transition</v>
      </c>
      <c r="D541" s="841"/>
      <c r="E541" s="855"/>
      <c r="F541" s="855"/>
      <c r="G541" s="855"/>
      <c r="H541" s="855"/>
      <c r="I541" s="855"/>
      <c r="J541" s="855"/>
      <c r="K541" s="725"/>
      <c r="L541" s="16" t="str">
        <f>IF(AND($E$539=TRUE,E541&lt;&gt;""),
    template_label_ok,
    IF(AND($E$539=TRUE,G541=""),
        template_label_missing_value,
        ""
    )
)</f>
        <v/>
      </c>
    </row>
    <row r="542" spans="1:12" x14ac:dyDescent="0.3">
      <c r="A542" s="381" t="s">
        <v>52</v>
      </c>
      <c r="B542" s="382" t="s">
        <v>50</v>
      </c>
      <c r="C542" s="703" t="str">
        <f>template_label_time_horizons_of_any_climate_related_hazards_and_transition_events_identified</f>
        <v>Horizons temporels des aléas liés au changement climatique et des événements liés à la transition climatique recensés</v>
      </c>
      <c r="D542" s="841"/>
      <c r="E542" s="855"/>
      <c r="F542" s="855"/>
      <c r="G542" s="855"/>
      <c r="H542" s="855"/>
      <c r="I542" s="855"/>
      <c r="J542" s="855"/>
      <c r="K542" s="725"/>
      <c r="L542" s="16" t="str">
        <f>IF(AND($E$539=TRUE,E542&lt;&gt;""),
    template_label_ok,
    IF(AND($E$539=TRUE,G542=""),
        template_label_missing_value,
        ""
    )
)</f>
        <v/>
      </c>
    </row>
    <row r="543" spans="1:12" ht="27" customHeight="1" x14ac:dyDescent="0.3">
      <c r="A543" s="381" t="s">
        <v>53</v>
      </c>
      <c r="B543" s="382" t="s">
        <v>50</v>
      </c>
      <c r="C543" s="703" t="str">
        <f>template_label_disclosure_of_whether_it_has_undertaken_climate_change_adaptation_actions</f>
        <v>Indication si elle a entrepris des actions d’adaptation au changement climatique pour les aléas liés au changement climatique et les événements liés à la transition climatique</v>
      </c>
      <c r="D543" s="841"/>
      <c r="E543" s="847"/>
      <c r="F543" s="847"/>
      <c r="G543" s="847"/>
      <c r="H543" s="847"/>
      <c r="I543" s="847"/>
      <c r="J543" s="847"/>
      <c r="K543" s="856"/>
      <c r="L543" s="16" t="str">
        <f>IF(AND($E$539=TRUE,E543&lt;&gt;""),
    template_label_ok,
    IF(AND($E$539=TRUE,G543=""),
        template_label_missing_value,
        ""
    )
)</f>
        <v/>
      </c>
    </row>
    <row r="544" spans="1:12" ht="29.4" customHeight="1" thickBot="1" x14ac:dyDescent="0.35">
      <c r="A544" s="381">
        <v>58</v>
      </c>
      <c r="B544" s="382" t="s">
        <v>50</v>
      </c>
      <c r="C544" s="665" t="str">
        <f>template_label_potential_adverse_effects_of_climate_risks &amp; " - " &amp; template_label_may_not_headline</f>
        <v>Effets potentiels négatifs des risques climatiques susceptibles d’affecter ses performances financières ou ses activités à court, moyen ou long terme, en indiquant si elle estime que les risques sont élevés, moyens ou faibles - peut (facultatif)</v>
      </c>
      <c r="D544" s="669"/>
      <c r="E544" s="857"/>
      <c r="F544" s="857"/>
      <c r="G544" s="857"/>
      <c r="H544" s="857"/>
      <c r="I544" s="857"/>
      <c r="J544" s="857"/>
      <c r="K544" s="723"/>
      <c r="L544" s="16" t="str">
        <f>IF(AND($E$539=TRUE,E544&lt;&gt;""),
    template_label_ok,
    ""
)</f>
        <v/>
      </c>
    </row>
    <row r="545" spans="3:13" ht="15" thickBot="1" x14ac:dyDescent="0.35"/>
    <row r="546" spans="3:13" ht="15" thickBot="1" x14ac:dyDescent="0.35">
      <c r="C546" s="852" t="str">
        <f>template_label_disclosure_of_any_other_environmental_and_or_entity_specific_environmental_disclosures&amp;" "&amp;template_label_from&amp;" "&amp;template_starting_date_display&amp;" "&amp;template_label_to&amp;" "&amp;template_ending_date_display&amp;" " &amp; template_label_may</f>
        <v>Publication de toute autre information environnementale et/ ou spécifique à l'entité du - au - [peut (facultatif)]</v>
      </c>
      <c r="D546" s="853"/>
      <c r="E546" s="853"/>
      <c r="F546" s="853"/>
      <c r="G546" s="853"/>
      <c r="H546" s="853"/>
      <c r="I546" s="853"/>
      <c r="J546" s="853"/>
      <c r="K546" s="853"/>
      <c r="L546" s="854"/>
    </row>
    <row r="547" spans="3:13" x14ac:dyDescent="0.3">
      <c r="C547" s="636">
        <v>10</v>
      </c>
      <c r="D547" s="783"/>
      <c r="E547" s="783"/>
      <c r="F547" s="783"/>
      <c r="G547" s="783"/>
      <c r="H547" s="783"/>
      <c r="I547" s="783"/>
      <c r="J547" s="783"/>
      <c r="K547" s="783"/>
      <c r="L547" s="784"/>
    </row>
    <row r="548" spans="3:13" ht="15" thickBot="1" x14ac:dyDescent="0.35">
      <c r="C548" s="848"/>
      <c r="D548" s="666"/>
      <c r="E548" s="666"/>
      <c r="F548" s="666"/>
      <c r="G548" s="666"/>
      <c r="H548" s="666"/>
      <c r="I548" s="666"/>
      <c r="J548" s="666"/>
      <c r="K548" s="666"/>
      <c r="L548" s="667"/>
      <c r="M548" s="16" t="str">
        <f>IF(C548&lt;&gt;"", template_label_ok, "")</f>
        <v/>
      </c>
    </row>
  </sheetData>
  <sheetProtection algorithmName="SHA-512" hashValue="rqeqYmTg8kHRjg89cF4lLHSVMAqN0XNgsK95Fz8eGe8srKIV37QaQiAzQKqUkY0F5Qr9wC3Io+Tj9Tw93e3J0w==" saltValue="p425f4459i65s6VM6lFGwQ==" spinCount="100000" sheet="1" formatColumns="0" formatRows="0" insertRows="0"/>
  <mergeCells count="1016">
    <mergeCell ref="A55:B55"/>
    <mergeCell ref="D284:F284"/>
    <mergeCell ref="D285:F285"/>
    <mergeCell ref="D275:F275"/>
    <mergeCell ref="D276:F276"/>
    <mergeCell ref="D277:F277"/>
    <mergeCell ref="D278:F278"/>
    <mergeCell ref="D279:F279"/>
    <mergeCell ref="D280:F280"/>
    <mergeCell ref="D281:F281"/>
    <mergeCell ref="D282:F282"/>
    <mergeCell ref="D283:F283"/>
    <mergeCell ref="D266:F266"/>
    <mergeCell ref="D267:F267"/>
    <mergeCell ref="D268:F268"/>
    <mergeCell ref="D269:F269"/>
    <mergeCell ref="D270:F270"/>
    <mergeCell ref="D271:F271"/>
    <mergeCell ref="D272:F272"/>
    <mergeCell ref="D273:F273"/>
    <mergeCell ref="D274:F274"/>
    <mergeCell ref="D257:F257"/>
    <mergeCell ref="D258:F258"/>
    <mergeCell ref="D259:F259"/>
    <mergeCell ref="D260:F260"/>
    <mergeCell ref="D261:F261"/>
    <mergeCell ref="D262:F262"/>
    <mergeCell ref="D263:F263"/>
    <mergeCell ref="D264:F264"/>
    <mergeCell ref="D265:F265"/>
    <mergeCell ref="D248:F248"/>
    <mergeCell ref="D249:F249"/>
    <mergeCell ref="D250:F250"/>
    <mergeCell ref="D251:F251"/>
    <mergeCell ref="D252:F252"/>
    <mergeCell ref="D253:F253"/>
    <mergeCell ref="D254:F254"/>
    <mergeCell ref="D255:F255"/>
    <mergeCell ref="D256:F256"/>
    <mergeCell ref="D213:F213"/>
    <mergeCell ref="D214:F214"/>
    <mergeCell ref="D215:F215"/>
    <mergeCell ref="D216:F216"/>
    <mergeCell ref="D217:F217"/>
    <mergeCell ref="D218:F218"/>
    <mergeCell ref="D219:F219"/>
    <mergeCell ref="D220:F220"/>
    <mergeCell ref="D239:F239"/>
    <mergeCell ref="D240:F240"/>
    <mergeCell ref="D241:F241"/>
    <mergeCell ref="D242:F242"/>
    <mergeCell ref="D243:F243"/>
    <mergeCell ref="D244:F244"/>
    <mergeCell ref="D245:F245"/>
    <mergeCell ref="D246:F246"/>
    <mergeCell ref="D247:F247"/>
    <mergeCell ref="D230:F230"/>
    <mergeCell ref="D231:F231"/>
    <mergeCell ref="D232:F232"/>
    <mergeCell ref="D233:F233"/>
    <mergeCell ref="D234:F234"/>
    <mergeCell ref="D235:F235"/>
    <mergeCell ref="D236:F236"/>
    <mergeCell ref="D237:F237"/>
    <mergeCell ref="D238:F238"/>
    <mergeCell ref="C430:J430"/>
    <mergeCell ref="C431:J431"/>
    <mergeCell ref="C433:F433"/>
    <mergeCell ref="G433:J433"/>
    <mergeCell ref="D434:F434"/>
    <mergeCell ref="D435:F435"/>
    <mergeCell ref="D436:F436"/>
    <mergeCell ref="D437:F437"/>
    <mergeCell ref="D439:F439"/>
    <mergeCell ref="G444:I444"/>
    <mergeCell ref="J423:L423"/>
    <mergeCell ref="J424:L424"/>
    <mergeCell ref="G325:I325"/>
    <mergeCell ref="C319:L319"/>
    <mergeCell ref="E303:F303"/>
    <mergeCell ref="D342:F342"/>
    <mergeCell ref="D340:F340"/>
    <mergeCell ref="D333:F333"/>
    <mergeCell ref="J425:L425"/>
    <mergeCell ref="J426:L426"/>
    <mergeCell ref="D377:F377"/>
    <mergeCell ref="D378:F378"/>
    <mergeCell ref="D345:F345"/>
    <mergeCell ref="D346:F346"/>
    <mergeCell ref="D347:F347"/>
    <mergeCell ref="D348:F348"/>
    <mergeCell ref="D349:F349"/>
    <mergeCell ref="D350:F350"/>
    <mergeCell ref="D351:F351"/>
    <mergeCell ref="D352:F352"/>
    <mergeCell ref="D353:F353"/>
    <mergeCell ref="D354:F354"/>
    <mergeCell ref="G270:I270"/>
    <mergeCell ref="G271:I271"/>
    <mergeCell ref="G272:I272"/>
    <mergeCell ref="G282:I282"/>
    <mergeCell ref="G283:I283"/>
    <mergeCell ref="G284:I284"/>
    <mergeCell ref="G285:I285"/>
    <mergeCell ref="G273:I273"/>
    <mergeCell ref="G274:I274"/>
    <mergeCell ref="G275:I275"/>
    <mergeCell ref="G276:I276"/>
    <mergeCell ref="G277:I277"/>
    <mergeCell ref="G278:I278"/>
    <mergeCell ref="G279:I279"/>
    <mergeCell ref="D141:F141"/>
    <mergeCell ref="D142:F142"/>
    <mergeCell ref="D143:F143"/>
    <mergeCell ref="D144:F144"/>
    <mergeCell ref="D145:F145"/>
    <mergeCell ref="D195:F195"/>
    <mergeCell ref="D197:F197"/>
    <mergeCell ref="G193:I193"/>
    <mergeCell ref="G194:I194"/>
    <mergeCell ref="G195:I195"/>
    <mergeCell ref="G196:I196"/>
    <mergeCell ref="D226:F226"/>
    <mergeCell ref="D227:F227"/>
    <mergeCell ref="D228:F228"/>
    <mergeCell ref="D229:F229"/>
    <mergeCell ref="D212:F212"/>
    <mergeCell ref="G191:I191"/>
    <mergeCell ref="G178:I178"/>
    <mergeCell ref="D287:F287"/>
    <mergeCell ref="C290:F290"/>
    <mergeCell ref="D221:F221"/>
    <mergeCell ref="D222:F222"/>
    <mergeCell ref="D223:F223"/>
    <mergeCell ref="G207:I207"/>
    <mergeCell ref="D196:F196"/>
    <mergeCell ref="D199:F199"/>
    <mergeCell ref="D200:F200"/>
    <mergeCell ref="D201:F201"/>
    <mergeCell ref="D202:F202"/>
    <mergeCell ref="G197:I197"/>
    <mergeCell ref="G198:I198"/>
    <mergeCell ref="G199:I199"/>
    <mergeCell ref="D341:F341"/>
    <mergeCell ref="C308:D308"/>
    <mergeCell ref="E310:F310"/>
    <mergeCell ref="D329:F329"/>
    <mergeCell ref="D327:F327"/>
    <mergeCell ref="G324:I324"/>
    <mergeCell ref="G246:I246"/>
    <mergeCell ref="G247:I247"/>
    <mergeCell ref="G248:I248"/>
    <mergeCell ref="G249:I249"/>
    <mergeCell ref="G250:I250"/>
    <mergeCell ref="G251:I251"/>
    <mergeCell ref="G252:I252"/>
    <mergeCell ref="G253:I253"/>
    <mergeCell ref="G254:I254"/>
    <mergeCell ref="G255:I255"/>
    <mergeCell ref="D224:F224"/>
    <mergeCell ref="D225:F225"/>
    <mergeCell ref="C292:F292"/>
    <mergeCell ref="C293:F293"/>
    <mergeCell ref="G208:I208"/>
    <mergeCell ref="G209:I209"/>
    <mergeCell ref="G287:I287"/>
    <mergeCell ref="D339:F339"/>
    <mergeCell ref="D343:F343"/>
    <mergeCell ref="D344:F344"/>
    <mergeCell ref="D193:F193"/>
    <mergeCell ref="D194:F194"/>
    <mergeCell ref="D203:F203"/>
    <mergeCell ref="D206:F206"/>
    <mergeCell ref="D331:F331"/>
    <mergeCell ref="D317:G317"/>
    <mergeCell ref="G329:I329"/>
    <mergeCell ref="G330:I330"/>
    <mergeCell ref="G295:G298"/>
    <mergeCell ref="G286:I286"/>
    <mergeCell ref="G326:I326"/>
    <mergeCell ref="G327:I327"/>
    <mergeCell ref="C313:G313"/>
    <mergeCell ref="C314:G314"/>
    <mergeCell ref="C315:G315"/>
    <mergeCell ref="C301:D301"/>
    <mergeCell ref="C302:D302"/>
    <mergeCell ref="C307:D307"/>
    <mergeCell ref="C300:D300"/>
    <mergeCell ref="H316:I316"/>
    <mergeCell ref="C306:D306"/>
    <mergeCell ref="G200:I200"/>
    <mergeCell ref="G201:I201"/>
    <mergeCell ref="G203:I203"/>
    <mergeCell ref="D140:F140"/>
    <mergeCell ref="G106:I106"/>
    <mergeCell ref="G107:I107"/>
    <mergeCell ref="G105:I105"/>
    <mergeCell ref="D102:F102"/>
    <mergeCell ref="D103:F103"/>
    <mergeCell ref="D104:F104"/>
    <mergeCell ref="D88:F88"/>
    <mergeCell ref="D89:F89"/>
    <mergeCell ref="J428:L428"/>
    <mergeCell ref="J427:L427"/>
    <mergeCell ref="G427:I427"/>
    <mergeCell ref="G428:I428"/>
    <mergeCell ref="G424:I424"/>
    <mergeCell ref="D208:F208"/>
    <mergeCell ref="D209:F209"/>
    <mergeCell ref="D294:F294"/>
    <mergeCell ref="G336:I336"/>
    <mergeCell ref="G425:I425"/>
    <mergeCell ref="G423:I423"/>
    <mergeCell ref="D424:F424"/>
    <mergeCell ref="D425:F425"/>
    <mergeCell ref="D336:F336"/>
    <mergeCell ref="D423:F423"/>
    <mergeCell ref="D335:F335"/>
    <mergeCell ref="G335:I335"/>
    <mergeCell ref="D296:F296"/>
    <mergeCell ref="D297:F297"/>
    <mergeCell ref="D298:F298"/>
    <mergeCell ref="E304:F304"/>
    <mergeCell ref="D428:F428"/>
    <mergeCell ref="D332:F332"/>
    <mergeCell ref="G103:I103"/>
    <mergeCell ref="D46:F46"/>
    <mergeCell ref="D57:K57"/>
    <mergeCell ref="D58:K58"/>
    <mergeCell ref="C52:K52"/>
    <mergeCell ref="C50:K50"/>
    <mergeCell ref="C49:K49"/>
    <mergeCell ref="C71:K71"/>
    <mergeCell ref="G68:K68"/>
    <mergeCell ref="G88:I88"/>
    <mergeCell ref="G89:I89"/>
    <mergeCell ref="G100:I100"/>
    <mergeCell ref="D96:F96"/>
    <mergeCell ref="G109:I109"/>
    <mergeCell ref="G117:I117"/>
    <mergeCell ref="G210:I210"/>
    <mergeCell ref="G211:I211"/>
    <mergeCell ref="G205:I205"/>
    <mergeCell ref="G206:I206"/>
    <mergeCell ref="G192:I192"/>
    <mergeCell ref="G116:I116"/>
    <mergeCell ref="G184:K184"/>
    <mergeCell ref="G115:I115"/>
    <mergeCell ref="C182:K182"/>
    <mergeCell ref="C185:K185"/>
    <mergeCell ref="D133:F133"/>
    <mergeCell ref="D134:F134"/>
    <mergeCell ref="D135:F135"/>
    <mergeCell ref="D136:F136"/>
    <mergeCell ref="D137:F137"/>
    <mergeCell ref="D138:F138"/>
    <mergeCell ref="D139:F139"/>
    <mergeCell ref="D130:F130"/>
    <mergeCell ref="D131:F131"/>
    <mergeCell ref="D132:F132"/>
    <mergeCell ref="C181:K181"/>
    <mergeCell ref="C183:K183"/>
    <mergeCell ref="G187:I187"/>
    <mergeCell ref="G188:I188"/>
    <mergeCell ref="G189:I189"/>
    <mergeCell ref="G190:I190"/>
    <mergeCell ref="C7:K7"/>
    <mergeCell ref="C8:K8"/>
    <mergeCell ref="C9:K9"/>
    <mergeCell ref="D422:F422"/>
    <mergeCell ref="G331:I331"/>
    <mergeCell ref="G332:I332"/>
    <mergeCell ref="G333:I333"/>
    <mergeCell ref="G334:I334"/>
    <mergeCell ref="D210:F210"/>
    <mergeCell ref="D211:F211"/>
    <mergeCell ref="D286:F286"/>
    <mergeCell ref="D324:F324"/>
    <mergeCell ref="D325:F325"/>
    <mergeCell ref="G422:I422"/>
    <mergeCell ref="D322:F322"/>
    <mergeCell ref="D323:F323"/>
    <mergeCell ref="D326:F326"/>
    <mergeCell ref="G322:I322"/>
    <mergeCell ref="G323:I323"/>
    <mergeCell ref="G25:I25"/>
    <mergeCell ref="G26:I26"/>
    <mergeCell ref="G101:I101"/>
    <mergeCell ref="G102:I102"/>
    <mergeCell ref="C27:F27"/>
    <mergeCell ref="D43:F43"/>
    <mergeCell ref="D34:F34"/>
    <mergeCell ref="D35:F35"/>
    <mergeCell ref="D40:F40"/>
    <mergeCell ref="D41:F41"/>
    <mergeCell ref="D42:F42"/>
    <mergeCell ref="G42:I42"/>
    <mergeCell ref="G43:I43"/>
    <mergeCell ref="C423:C428"/>
    <mergeCell ref="D187:F187"/>
    <mergeCell ref="G179:I179"/>
    <mergeCell ref="G110:I110"/>
    <mergeCell ref="G111:I111"/>
    <mergeCell ref="G112:I112"/>
    <mergeCell ref="G113:I113"/>
    <mergeCell ref="G114:I114"/>
    <mergeCell ref="C186:K186"/>
    <mergeCell ref="D334:F334"/>
    <mergeCell ref="D330:F330"/>
    <mergeCell ref="D328:F328"/>
    <mergeCell ref="H317:I317"/>
    <mergeCell ref="D204:F204"/>
    <mergeCell ref="D205:F205"/>
    <mergeCell ref="D207:F207"/>
    <mergeCell ref="C320:L320"/>
    <mergeCell ref="C321:L321"/>
    <mergeCell ref="D316:G316"/>
    <mergeCell ref="D295:F295"/>
    <mergeCell ref="C291:F291"/>
    <mergeCell ref="G328:I328"/>
    <mergeCell ref="D129:F129"/>
    <mergeCell ref="G87:I87"/>
    <mergeCell ref="D87:F87"/>
    <mergeCell ref="C77:K77"/>
    <mergeCell ref="C78:K78"/>
    <mergeCell ref="C75:F75"/>
    <mergeCell ref="G85:I85"/>
    <mergeCell ref="G75:K75"/>
    <mergeCell ref="D79:F79"/>
    <mergeCell ref="G79:I79"/>
    <mergeCell ref="G86:I86"/>
    <mergeCell ref="D83:F83"/>
    <mergeCell ref="D84:F84"/>
    <mergeCell ref="D85:F85"/>
    <mergeCell ref="D86:F86"/>
    <mergeCell ref="C76:F76"/>
    <mergeCell ref="G46:I46"/>
    <mergeCell ref="C72:K72"/>
    <mergeCell ref="C73:K73"/>
    <mergeCell ref="D47:F47"/>
    <mergeCell ref="G47:I47"/>
    <mergeCell ref="C67:F67"/>
    <mergeCell ref="G67:K67"/>
    <mergeCell ref="D62:K62"/>
    <mergeCell ref="C66:F66"/>
    <mergeCell ref="D56:K56"/>
    <mergeCell ref="G74:K74"/>
    <mergeCell ref="G69:K69"/>
    <mergeCell ref="G76:K76"/>
    <mergeCell ref="C74:F74"/>
    <mergeCell ref="D105:F105"/>
    <mergeCell ref="G99:I99"/>
    <mergeCell ref="G90:I90"/>
    <mergeCell ref="G91:I91"/>
    <mergeCell ref="G92:I92"/>
    <mergeCell ref="G93:I93"/>
    <mergeCell ref="G94:I94"/>
    <mergeCell ref="D120:F120"/>
    <mergeCell ref="D121:F121"/>
    <mergeCell ref="D122:F122"/>
    <mergeCell ref="D123:F123"/>
    <mergeCell ref="D124:F124"/>
    <mergeCell ref="D125:F125"/>
    <mergeCell ref="D126:F126"/>
    <mergeCell ref="D127:F127"/>
    <mergeCell ref="D128:F128"/>
    <mergeCell ref="D179:F179"/>
    <mergeCell ref="D110:F110"/>
    <mergeCell ref="D106:F106"/>
    <mergeCell ref="D107:F107"/>
    <mergeCell ref="D108:F108"/>
    <mergeCell ref="D109:F109"/>
    <mergeCell ref="D93:F93"/>
    <mergeCell ref="D101:F101"/>
    <mergeCell ref="D98:F98"/>
    <mergeCell ref="D94:F94"/>
    <mergeCell ref="D95:F95"/>
    <mergeCell ref="G97:I97"/>
    <mergeCell ref="G98:I98"/>
    <mergeCell ref="D154:F154"/>
    <mergeCell ref="D155:F155"/>
    <mergeCell ref="D156:F156"/>
    <mergeCell ref="D160:F160"/>
    <mergeCell ref="D161:F161"/>
    <mergeCell ref="C184:F184"/>
    <mergeCell ref="D92:F92"/>
    <mergeCell ref="D438:F438"/>
    <mergeCell ref="D533:F533"/>
    <mergeCell ref="D534:F534"/>
    <mergeCell ref="G446:I446"/>
    <mergeCell ref="C548:L548"/>
    <mergeCell ref="C538:K538"/>
    <mergeCell ref="C546:L546"/>
    <mergeCell ref="E540:K540"/>
    <mergeCell ref="E541:K541"/>
    <mergeCell ref="E543:K543"/>
    <mergeCell ref="E542:K542"/>
    <mergeCell ref="E544:K544"/>
    <mergeCell ref="C543:D543"/>
    <mergeCell ref="C544:D544"/>
    <mergeCell ref="C540:D540"/>
    <mergeCell ref="C541:D541"/>
    <mergeCell ref="C542:D542"/>
    <mergeCell ref="C539:D539"/>
    <mergeCell ref="E539:K539"/>
    <mergeCell ref="C547:L547"/>
    <mergeCell ref="G533:I533"/>
    <mergeCell ref="G534:I534"/>
    <mergeCell ref="G447:I447"/>
    <mergeCell ref="D113:F113"/>
    <mergeCell ref="D112:F112"/>
    <mergeCell ref="D111:F111"/>
    <mergeCell ref="D100:F100"/>
    <mergeCell ref="G536:I536"/>
    <mergeCell ref="G535:I535"/>
    <mergeCell ref="G434:I434"/>
    <mergeCell ref="C536:F536"/>
    <mergeCell ref="D444:F444"/>
    <mergeCell ref="D443:F443"/>
    <mergeCell ref="D442:F442"/>
    <mergeCell ref="D441:F441"/>
    <mergeCell ref="D440:F440"/>
    <mergeCell ref="C535:F535"/>
    <mergeCell ref="G435:I435"/>
    <mergeCell ref="G436:I436"/>
    <mergeCell ref="G437:I437"/>
    <mergeCell ref="G438:I438"/>
    <mergeCell ref="G439:I439"/>
    <mergeCell ref="G440:I440"/>
    <mergeCell ref="G441:I441"/>
    <mergeCell ref="G442:I442"/>
    <mergeCell ref="G443:I44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G204:I204"/>
    <mergeCell ref="G104:I104"/>
    <mergeCell ref="D188:F188"/>
    <mergeCell ref="D189:F189"/>
    <mergeCell ref="D118:F118"/>
    <mergeCell ref="D119:F119"/>
    <mergeCell ref="D91:F91"/>
    <mergeCell ref="C289:F289"/>
    <mergeCell ref="G202:I202"/>
    <mergeCell ref="C11:F11"/>
    <mergeCell ref="D90:F90"/>
    <mergeCell ref="D99:F99"/>
    <mergeCell ref="D178:F178"/>
    <mergeCell ref="D117:F117"/>
    <mergeCell ref="D116:F116"/>
    <mergeCell ref="D115:F115"/>
    <mergeCell ref="D114:F114"/>
    <mergeCell ref="C14:F14"/>
    <mergeCell ref="C19:F19"/>
    <mergeCell ref="C29:F29"/>
    <mergeCell ref="D20:F20"/>
    <mergeCell ref="D21:F21"/>
    <mergeCell ref="C68:F68"/>
    <mergeCell ref="C69:F69"/>
    <mergeCell ref="D36:F36"/>
    <mergeCell ref="D37:F37"/>
    <mergeCell ref="D38:F38"/>
    <mergeCell ref="D39:F39"/>
    <mergeCell ref="D190:F190"/>
    <mergeCell ref="D157:F157"/>
    <mergeCell ref="D158:F158"/>
    <mergeCell ref="D159:F159"/>
    <mergeCell ref="C2:K2"/>
    <mergeCell ref="C4:K4"/>
    <mergeCell ref="C3:K3"/>
    <mergeCell ref="G66:K66"/>
    <mergeCell ref="C51:K51"/>
    <mergeCell ref="C65:K65"/>
    <mergeCell ref="C64:K64"/>
    <mergeCell ref="C55:K55"/>
    <mergeCell ref="C16:F16"/>
    <mergeCell ref="C17:F17"/>
    <mergeCell ref="D18:F18"/>
    <mergeCell ref="D22:F22"/>
    <mergeCell ref="G16:K16"/>
    <mergeCell ref="C5:F5"/>
    <mergeCell ref="C12:F12"/>
    <mergeCell ref="C13:F13"/>
    <mergeCell ref="G12:I12"/>
    <mergeCell ref="G13:I13"/>
    <mergeCell ref="G14:I14"/>
    <mergeCell ref="G11:I11"/>
    <mergeCell ref="G17:I17"/>
    <mergeCell ref="G18:I18"/>
    <mergeCell ref="G5:K5"/>
    <mergeCell ref="G39:I39"/>
    <mergeCell ref="G20:I20"/>
    <mergeCell ref="G21:I21"/>
    <mergeCell ref="G22:I22"/>
    <mergeCell ref="G23:I23"/>
    <mergeCell ref="G27:J27"/>
    <mergeCell ref="G24:I24"/>
    <mergeCell ref="G29:K29"/>
    <mergeCell ref="G28:I28"/>
    <mergeCell ref="L12:L14"/>
    <mergeCell ref="G19:I19"/>
    <mergeCell ref="C10:F10"/>
    <mergeCell ref="G10:K10"/>
    <mergeCell ref="D191:F191"/>
    <mergeCell ref="D192:F192"/>
    <mergeCell ref="D198:F198"/>
    <mergeCell ref="G80:I80"/>
    <mergeCell ref="G81:I81"/>
    <mergeCell ref="G108:I108"/>
    <mergeCell ref="G82:I82"/>
    <mergeCell ref="G83:I83"/>
    <mergeCell ref="G84:I84"/>
    <mergeCell ref="G95:I95"/>
    <mergeCell ref="G96:I96"/>
    <mergeCell ref="D80:F80"/>
    <mergeCell ref="D81:F81"/>
    <mergeCell ref="D82:F82"/>
    <mergeCell ref="D97:F97"/>
    <mergeCell ref="D30:F30"/>
    <mergeCell ref="D31:F31"/>
    <mergeCell ref="D32:F32"/>
    <mergeCell ref="D33:F33"/>
    <mergeCell ref="D23:F23"/>
    <mergeCell ref="D146:F146"/>
    <mergeCell ref="D147:F147"/>
    <mergeCell ref="D148:F148"/>
    <mergeCell ref="D149:F149"/>
    <mergeCell ref="D150:F150"/>
    <mergeCell ref="D151:F151"/>
    <mergeCell ref="D152:F152"/>
    <mergeCell ref="D153:F153"/>
    <mergeCell ref="A21:B26"/>
    <mergeCell ref="M30:U45"/>
    <mergeCell ref="L59:L61"/>
    <mergeCell ref="A59:A62"/>
    <mergeCell ref="B59:B62"/>
    <mergeCell ref="C59:C62"/>
    <mergeCell ref="D59:H59"/>
    <mergeCell ref="D60:H60"/>
    <mergeCell ref="D61:H61"/>
    <mergeCell ref="I59:K59"/>
    <mergeCell ref="I60:K60"/>
    <mergeCell ref="I61:K61"/>
    <mergeCell ref="G32:I32"/>
    <mergeCell ref="G33:I33"/>
    <mergeCell ref="G34:I34"/>
    <mergeCell ref="G44:I44"/>
    <mergeCell ref="L30:L44"/>
    <mergeCell ref="G45:I45"/>
    <mergeCell ref="G35:I35"/>
    <mergeCell ref="G36:I36"/>
    <mergeCell ref="G37:I37"/>
    <mergeCell ref="G38:I38"/>
    <mergeCell ref="G30:I30"/>
    <mergeCell ref="G31:I31"/>
    <mergeCell ref="G40:I40"/>
    <mergeCell ref="G41:I41"/>
    <mergeCell ref="D44:F44"/>
    <mergeCell ref="D24:F24"/>
    <mergeCell ref="D28:F28"/>
    <mergeCell ref="D45:F45"/>
    <mergeCell ref="D25:F25"/>
    <mergeCell ref="D26:F26"/>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G118:I118"/>
    <mergeCell ref="G119:I119"/>
    <mergeCell ref="G120:I120"/>
    <mergeCell ref="G121:I121"/>
    <mergeCell ref="G122:I122"/>
    <mergeCell ref="G123:I123"/>
    <mergeCell ref="G124:I124"/>
    <mergeCell ref="G125:I125"/>
    <mergeCell ref="G126:I126"/>
    <mergeCell ref="G127:I127"/>
    <mergeCell ref="G128:I128"/>
    <mergeCell ref="G129:I129"/>
    <mergeCell ref="G130:I130"/>
    <mergeCell ref="G131:I131"/>
    <mergeCell ref="G132:I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I145"/>
    <mergeCell ref="G146:I146"/>
    <mergeCell ref="G147:I147"/>
    <mergeCell ref="G148:I148"/>
    <mergeCell ref="G149:I149"/>
    <mergeCell ref="G150:I150"/>
    <mergeCell ref="G151:I151"/>
    <mergeCell ref="G152:I152"/>
    <mergeCell ref="G153:I153"/>
    <mergeCell ref="G154:I154"/>
    <mergeCell ref="G155:I155"/>
    <mergeCell ref="G156:I156"/>
    <mergeCell ref="G157:I157"/>
    <mergeCell ref="G158:I158"/>
    <mergeCell ref="G159:I159"/>
    <mergeCell ref="G160:I160"/>
    <mergeCell ref="G161:I161"/>
    <mergeCell ref="G162:I162"/>
    <mergeCell ref="G163:I163"/>
    <mergeCell ref="G164:I164"/>
    <mergeCell ref="G165:I165"/>
    <mergeCell ref="G166:I166"/>
    <mergeCell ref="G167:I167"/>
    <mergeCell ref="G168:I168"/>
    <mergeCell ref="G169:I169"/>
    <mergeCell ref="G170:I170"/>
    <mergeCell ref="G171:I171"/>
    <mergeCell ref="G172:I172"/>
    <mergeCell ref="G173:I173"/>
    <mergeCell ref="G174:I174"/>
    <mergeCell ref="G175:I175"/>
    <mergeCell ref="G176:I176"/>
    <mergeCell ref="G177:I177"/>
    <mergeCell ref="D337:F337"/>
    <mergeCell ref="D338:F338"/>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337:I337"/>
    <mergeCell ref="G338:I338"/>
    <mergeCell ref="G228:I228"/>
    <mergeCell ref="G229:I229"/>
    <mergeCell ref="G230:I230"/>
    <mergeCell ref="D411:F411"/>
    <mergeCell ref="D412:F412"/>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62:F362"/>
    <mergeCell ref="D363:F363"/>
    <mergeCell ref="D364:F364"/>
    <mergeCell ref="D365:F365"/>
    <mergeCell ref="D366:F366"/>
    <mergeCell ref="D367:F367"/>
    <mergeCell ref="D368:F368"/>
    <mergeCell ref="D369:F369"/>
    <mergeCell ref="D370:F370"/>
    <mergeCell ref="D371:F371"/>
    <mergeCell ref="D372:F372"/>
    <mergeCell ref="D373:F373"/>
    <mergeCell ref="D374:F374"/>
    <mergeCell ref="D375:F375"/>
    <mergeCell ref="D376:F376"/>
    <mergeCell ref="D355:F355"/>
    <mergeCell ref="D356:F356"/>
    <mergeCell ref="D357:F357"/>
    <mergeCell ref="D358:F358"/>
    <mergeCell ref="D359:F359"/>
    <mergeCell ref="D360:F360"/>
    <mergeCell ref="D361:F361"/>
    <mergeCell ref="G339:I339"/>
    <mergeCell ref="G340:I340"/>
    <mergeCell ref="G341:I341"/>
    <mergeCell ref="G342:I342"/>
    <mergeCell ref="G343:I343"/>
    <mergeCell ref="G344:I344"/>
    <mergeCell ref="G345:I345"/>
    <mergeCell ref="G346:I346"/>
    <mergeCell ref="G347:I347"/>
    <mergeCell ref="G348:I348"/>
    <mergeCell ref="G349:I349"/>
    <mergeCell ref="G350:I350"/>
    <mergeCell ref="G351:I351"/>
    <mergeCell ref="G352:I352"/>
    <mergeCell ref="G353:I353"/>
    <mergeCell ref="G360:I360"/>
    <mergeCell ref="G361:I361"/>
    <mergeCell ref="G354:I354"/>
    <mergeCell ref="G355:I355"/>
    <mergeCell ref="G356:I356"/>
    <mergeCell ref="G357:I357"/>
    <mergeCell ref="G358:I358"/>
    <mergeCell ref="G359:I359"/>
    <mergeCell ref="G362:I362"/>
    <mergeCell ref="G363:I363"/>
    <mergeCell ref="G364:I364"/>
    <mergeCell ref="G365:I365"/>
    <mergeCell ref="G366:I366"/>
    <mergeCell ref="G367:I367"/>
    <mergeCell ref="G368:I368"/>
    <mergeCell ref="G369:I369"/>
    <mergeCell ref="G370:I370"/>
    <mergeCell ref="G371:I371"/>
    <mergeCell ref="G372:I372"/>
    <mergeCell ref="G373:I373"/>
    <mergeCell ref="G374:I374"/>
    <mergeCell ref="G375:I375"/>
    <mergeCell ref="G376:I376"/>
    <mergeCell ref="G377:I377"/>
    <mergeCell ref="G378:I378"/>
    <mergeCell ref="G379:I379"/>
    <mergeCell ref="G380:I380"/>
    <mergeCell ref="G381:I381"/>
    <mergeCell ref="G382:I382"/>
    <mergeCell ref="G383:I383"/>
    <mergeCell ref="G384:I384"/>
    <mergeCell ref="G385:I385"/>
    <mergeCell ref="G386:I386"/>
    <mergeCell ref="G387:I387"/>
    <mergeCell ref="G388:I388"/>
    <mergeCell ref="G389:I389"/>
    <mergeCell ref="G390:I390"/>
    <mergeCell ref="G391:I391"/>
    <mergeCell ref="G392:I392"/>
    <mergeCell ref="G393:I393"/>
    <mergeCell ref="G394:I394"/>
    <mergeCell ref="G395:I395"/>
    <mergeCell ref="D446:F446"/>
    <mergeCell ref="C432:J432"/>
    <mergeCell ref="G396:I396"/>
    <mergeCell ref="G397:I397"/>
    <mergeCell ref="G398:I398"/>
    <mergeCell ref="G399:I399"/>
    <mergeCell ref="G400:I400"/>
    <mergeCell ref="G401:I401"/>
    <mergeCell ref="G402:I402"/>
    <mergeCell ref="G403:I403"/>
    <mergeCell ref="G404:I404"/>
    <mergeCell ref="G405:I405"/>
    <mergeCell ref="G406:I406"/>
    <mergeCell ref="G407:I407"/>
    <mergeCell ref="G408:I408"/>
    <mergeCell ref="G409:I409"/>
    <mergeCell ref="G410:I410"/>
    <mergeCell ref="G411:I411"/>
    <mergeCell ref="G412:I412"/>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85:F485"/>
    <mergeCell ref="D486:F486"/>
    <mergeCell ref="G413:I413"/>
    <mergeCell ref="G414:I414"/>
    <mergeCell ref="G415:I415"/>
    <mergeCell ref="G416:I416"/>
    <mergeCell ref="G417:I417"/>
    <mergeCell ref="G418:I418"/>
    <mergeCell ref="G419:I419"/>
    <mergeCell ref="G420:I420"/>
    <mergeCell ref="G421:I421"/>
    <mergeCell ref="D448:F448"/>
    <mergeCell ref="D449:F449"/>
    <mergeCell ref="D450:F450"/>
    <mergeCell ref="D451:F451"/>
    <mergeCell ref="D452:F452"/>
    <mergeCell ref="D453:F453"/>
    <mergeCell ref="D447:F447"/>
    <mergeCell ref="D426:F426"/>
    <mergeCell ref="D427:F427"/>
    <mergeCell ref="G426:I426"/>
    <mergeCell ref="D413:F413"/>
    <mergeCell ref="D414:F414"/>
    <mergeCell ref="D415:F415"/>
    <mergeCell ref="D416:F416"/>
    <mergeCell ref="D417:F417"/>
    <mergeCell ref="D418:F418"/>
    <mergeCell ref="D419:F419"/>
    <mergeCell ref="D420:F420"/>
    <mergeCell ref="D421:F421"/>
    <mergeCell ref="D445:F445"/>
    <mergeCell ref="G445:I445"/>
    <mergeCell ref="D520:F520"/>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G467:I467"/>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G484:I484"/>
    <mergeCell ref="D521:F521"/>
    <mergeCell ref="D522:F522"/>
    <mergeCell ref="D523:F523"/>
    <mergeCell ref="D524:F524"/>
    <mergeCell ref="D525:F525"/>
    <mergeCell ref="D526:F526"/>
    <mergeCell ref="D527:F527"/>
    <mergeCell ref="D528:F528"/>
    <mergeCell ref="D529:F529"/>
    <mergeCell ref="D530:F530"/>
    <mergeCell ref="D531:F531"/>
    <mergeCell ref="D532:F532"/>
    <mergeCell ref="G448:I448"/>
    <mergeCell ref="G449:I449"/>
    <mergeCell ref="G450:I450"/>
    <mergeCell ref="G451:I451"/>
    <mergeCell ref="G452:I452"/>
    <mergeCell ref="G453:I453"/>
    <mergeCell ref="G454:I454"/>
    <mergeCell ref="G455:I455"/>
    <mergeCell ref="G456:I456"/>
    <mergeCell ref="G457:I457"/>
    <mergeCell ref="G458:I458"/>
    <mergeCell ref="G459:I459"/>
    <mergeCell ref="G460:I460"/>
    <mergeCell ref="G461:I461"/>
    <mergeCell ref="G462:I462"/>
    <mergeCell ref="G463:I463"/>
    <mergeCell ref="G464:I464"/>
    <mergeCell ref="G465:I465"/>
    <mergeCell ref="G466:I466"/>
    <mergeCell ref="G486:I486"/>
    <mergeCell ref="G487:I487"/>
    <mergeCell ref="G488:I488"/>
    <mergeCell ref="G489:I489"/>
    <mergeCell ref="G490:I490"/>
    <mergeCell ref="G491:I491"/>
    <mergeCell ref="G492:I492"/>
    <mergeCell ref="G493:I493"/>
    <mergeCell ref="G494:I494"/>
    <mergeCell ref="G495:I495"/>
    <mergeCell ref="G496:I496"/>
    <mergeCell ref="G497:I497"/>
    <mergeCell ref="G498:I498"/>
    <mergeCell ref="G499:I499"/>
    <mergeCell ref="G500:I500"/>
    <mergeCell ref="G501:I501"/>
    <mergeCell ref="G468:I468"/>
    <mergeCell ref="G469:I469"/>
    <mergeCell ref="G470:I470"/>
    <mergeCell ref="G471:I471"/>
    <mergeCell ref="G472:I472"/>
    <mergeCell ref="G473:I473"/>
    <mergeCell ref="G474:I474"/>
    <mergeCell ref="G475:I475"/>
    <mergeCell ref="G476:I476"/>
    <mergeCell ref="G477:I477"/>
    <mergeCell ref="G478:I478"/>
    <mergeCell ref="G479:I479"/>
    <mergeCell ref="G480:I480"/>
    <mergeCell ref="G481:I481"/>
    <mergeCell ref="G482:I482"/>
    <mergeCell ref="G483:I483"/>
    <mergeCell ref="G520:I520"/>
    <mergeCell ref="G521:I521"/>
    <mergeCell ref="G522:I522"/>
    <mergeCell ref="G523:I523"/>
    <mergeCell ref="G524:I524"/>
    <mergeCell ref="G525:I525"/>
    <mergeCell ref="G526:I526"/>
    <mergeCell ref="G527:I527"/>
    <mergeCell ref="G528:I528"/>
    <mergeCell ref="G529:I529"/>
    <mergeCell ref="G530:I530"/>
    <mergeCell ref="G531:I531"/>
    <mergeCell ref="G532:I532"/>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80:I280"/>
    <mergeCell ref="G281:I281"/>
    <mergeCell ref="G502:I502"/>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519:I519"/>
    <mergeCell ref="G503:I503"/>
    <mergeCell ref="G504:I504"/>
    <mergeCell ref="G505:I505"/>
    <mergeCell ref="G506:I506"/>
    <mergeCell ref="G507:I507"/>
    <mergeCell ref="G508:I508"/>
    <mergeCell ref="G509:I509"/>
    <mergeCell ref="G510:I510"/>
    <mergeCell ref="G511:I511"/>
    <mergeCell ref="G512:I512"/>
    <mergeCell ref="G513:I513"/>
    <mergeCell ref="G514:I514"/>
    <mergeCell ref="G515:I515"/>
    <mergeCell ref="G516:I516"/>
    <mergeCell ref="G517:I517"/>
    <mergeCell ref="G518:I518"/>
    <mergeCell ref="G485:I485"/>
  </mergeCells>
  <phoneticPr fontId="3" type="noConversion"/>
  <conditionalFormatting sqref="C52:K52">
    <cfRule type="expression" dxfId="301" priority="163">
      <formula>$J$19=TRUE</formula>
    </cfRule>
  </conditionalFormatting>
  <conditionalFormatting sqref="C78:K78">
    <cfRule type="expression" dxfId="300" priority="170">
      <formula>$G$75=TRUE</formula>
    </cfRule>
    <cfRule type="expression" dxfId="299" priority="148">
      <formula>$G$75=TRUE</formula>
    </cfRule>
    <cfRule type="expression" dxfId="298" priority="160">
      <formula>$G$74=TRUE</formula>
    </cfRule>
  </conditionalFormatting>
  <conditionalFormatting sqref="C186:K186 G189:I286 J189:K287 G287">
    <cfRule type="expression" dxfId="297" priority="158">
      <formula>$G$184=TRUE</formula>
    </cfRule>
  </conditionalFormatting>
  <conditionalFormatting sqref="D58">
    <cfRule type="expression" dxfId="296" priority="184">
      <formula>AND($D$56=TRUE,$D$57="A transition plan has already been adopted")</formula>
    </cfRule>
  </conditionalFormatting>
  <conditionalFormatting sqref="D310">
    <cfRule type="expression" dxfId="295" priority="155">
      <formula>$D$309=TRUE</formula>
    </cfRule>
  </conditionalFormatting>
  <conditionalFormatting sqref="D30:F44">
    <cfRule type="expression" dxfId="294" priority="33">
      <formula>$G$29=TRUE</formula>
    </cfRule>
  </conditionalFormatting>
  <conditionalFormatting sqref="D45:F47">
    <cfRule type="expression" dxfId="293" priority="31">
      <formula>$G$29=FALSE</formula>
    </cfRule>
  </conditionalFormatting>
  <conditionalFormatting sqref="D80:F179">
    <cfRule type="expression" dxfId="292" priority="21">
      <formula>$G$74=TRUE</formula>
    </cfRule>
    <cfRule type="expression" dxfId="291" priority="22">
      <formula>$G$75=TRUE</formula>
    </cfRule>
  </conditionalFormatting>
  <conditionalFormatting sqref="D188:F188">
    <cfRule type="expression" dxfId="290" priority="27">
      <formula>$D$188="VALUE INCONSISTENCY"</formula>
    </cfRule>
  </conditionalFormatting>
  <conditionalFormatting sqref="D189:F287">
    <cfRule type="expression" dxfId="289" priority="82">
      <formula>$D189="VALUE INCONSISTENCY"</formula>
    </cfRule>
  </conditionalFormatting>
  <conditionalFormatting sqref="D317:G317">
    <cfRule type="expression" dxfId="288" priority="192">
      <formula>$D$316="YES"</formula>
    </cfRule>
  </conditionalFormatting>
  <conditionalFormatting sqref="D80:I80 G81:I82 D81:F179">
    <cfRule type="expression" dxfId="287" priority="19">
      <formula>$G$75=TRUE</formula>
    </cfRule>
  </conditionalFormatting>
  <conditionalFormatting sqref="D435:J435 D436:I441 J436:J534 D442:F444 G442:I532 D445:D534 G533:J533 G534">
    <cfRule type="expression" dxfId="286" priority="10">
      <formula>$G$433=TRUE</formula>
    </cfRule>
  </conditionalFormatting>
  <conditionalFormatting sqref="D57:K57">
    <cfRule type="expression" dxfId="285" priority="5">
      <formula>$D$56=FALSE</formula>
    </cfRule>
  </conditionalFormatting>
  <conditionalFormatting sqref="D59:K62">
    <cfRule type="expression" dxfId="284" priority="6">
      <formula>$D$57=""</formula>
    </cfRule>
    <cfRule type="expression" dxfId="283" priority="7">
      <formula>$D$57="A transition plan has already been adopted"</formula>
    </cfRule>
  </conditionalFormatting>
  <conditionalFormatting sqref="E303:E304">
    <cfRule type="expression" dxfId="282" priority="223">
      <formula>$E303=template_label_missing_value</formula>
    </cfRule>
    <cfRule type="expression" dxfId="281" priority="222">
      <formula>$E303=template_label_ok</formula>
    </cfRule>
  </conditionalFormatting>
  <conditionalFormatting sqref="E310">
    <cfRule type="expression" dxfId="280" priority="199">
      <formula>$E$310=template_label_ok</formula>
    </cfRule>
    <cfRule type="expression" dxfId="279" priority="198">
      <formula>$E$310=template_label_missing_value</formula>
    </cfRule>
  </conditionalFormatting>
  <conditionalFormatting sqref="E540:K544">
    <cfRule type="expression" dxfId="278" priority="151">
      <formula>$E$539=TRUE</formula>
    </cfRule>
  </conditionalFormatting>
  <conditionalFormatting sqref="G76">
    <cfRule type="expression" dxfId="277" priority="175">
      <formula>$G$75=TRUE</formula>
    </cfRule>
  </conditionalFormatting>
  <conditionalFormatting sqref="G293:G295">
    <cfRule type="expression" dxfId="276" priority="146">
      <formula>$G293=template_label_ok</formula>
    </cfRule>
    <cfRule type="expression" dxfId="275" priority="25">
      <formula>$G293=template_label_value_inconsistency</formula>
    </cfRule>
    <cfRule type="expression" dxfId="274" priority="145">
      <formula>$G293=template_label_missing_value</formula>
    </cfRule>
  </conditionalFormatting>
  <conditionalFormatting sqref="G80:I82">
    <cfRule type="expression" dxfId="273" priority="18">
      <formula>$G$74=TRUE</formula>
    </cfRule>
  </conditionalFormatting>
  <conditionalFormatting sqref="G12:J13">
    <cfRule type="expression" dxfId="272" priority="167">
      <formula>$G$10=TRUE</formula>
    </cfRule>
  </conditionalFormatting>
  <conditionalFormatting sqref="G14:J14">
    <cfRule type="expression" dxfId="271" priority="36">
      <formula>$G$10=FALSE</formula>
    </cfRule>
  </conditionalFormatting>
  <conditionalFormatting sqref="G21:J24">
    <cfRule type="expression" dxfId="270" priority="166">
      <formula>$J$19=TRUE</formula>
    </cfRule>
  </conditionalFormatting>
  <conditionalFormatting sqref="G30:J44">
    <cfRule type="expression" dxfId="269" priority="32">
      <formula>AND($G$29=TRUE,$J$19=TRUE)</formula>
    </cfRule>
  </conditionalFormatting>
  <conditionalFormatting sqref="G45:J47">
    <cfRule type="expression" dxfId="268" priority="30">
      <formula>OR($J$19=FALSE,$G$29=FALSE)</formula>
    </cfRule>
  </conditionalFormatting>
  <conditionalFormatting sqref="G80:J82">
    <cfRule type="expression" dxfId="267" priority="16">
      <formula>$G$75=TRUE</formula>
    </cfRule>
  </conditionalFormatting>
  <conditionalFormatting sqref="G10:K10">
    <cfRule type="expression" dxfId="266" priority="168">
      <formula>$D$105="YES"</formula>
    </cfRule>
  </conditionalFormatting>
  <conditionalFormatting sqref="G68:K69">
    <cfRule type="expression" dxfId="265" priority="95">
      <formula>$G$29=FALSE</formula>
    </cfRule>
  </conditionalFormatting>
  <conditionalFormatting sqref="G75:K75">
    <cfRule type="expression" dxfId="264" priority="161">
      <formula>$G$74=TRUE</formula>
    </cfRule>
  </conditionalFormatting>
  <conditionalFormatting sqref="G83:K179">
    <cfRule type="expression" dxfId="263" priority="162">
      <formula>$G$74=TRUE</formula>
    </cfRule>
    <cfRule type="expression" dxfId="262" priority="159">
      <formula>$G$75=TRUE</formula>
    </cfRule>
    <cfRule type="expression" dxfId="261" priority="174">
      <formula>$G$75=TRUE</formula>
    </cfRule>
  </conditionalFormatting>
  <conditionalFormatting sqref="G188:K188">
    <cfRule type="expression" dxfId="260" priority="157">
      <formula>$G$184=TRUE</formula>
    </cfRule>
  </conditionalFormatting>
  <conditionalFormatting sqref="H316">
    <cfRule type="expression" dxfId="259" priority="194">
      <formula>$H$316=template_label_missing_value</formula>
    </cfRule>
    <cfRule type="expression" dxfId="258" priority="193">
      <formula>$H$316=template_label_ok</formula>
    </cfRule>
  </conditionalFormatting>
  <conditionalFormatting sqref="H317">
    <cfRule type="expression" dxfId="257" priority="3">
      <formula>$H$317=template_label_value_inconsistency</formula>
    </cfRule>
    <cfRule type="expression" dxfId="256" priority="191">
      <formula>$H$317=template_label_ok</formula>
    </cfRule>
    <cfRule type="expression" dxfId="255" priority="190">
      <formula>$H$317=template_label_missing_value</formula>
    </cfRule>
  </conditionalFormatting>
  <conditionalFormatting sqref="J80:J82">
    <cfRule type="expression" dxfId="254" priority="15">
      <formula>$G$74=TRUE</formula>
    </cfRule>
  </conditionalFormatting>
  <conditionalFormatting sqref="J80:K82">
    <cfRule type="expression" dxfId="253" priority="13">
      <formula>$G$75=TRUE</formula>
    </cfRule>
  </conditionalFormatting>
  <conditionalFormatting sqref="K30:K44">
    <cfRule type="expression" dxfId="252" priority="4">
      <formula>AND($G30&lt;&gt;"", $J30&lt;&gt;"")</formula>
    </cfRule>
  </conditionalFormatting>
  <conditionalFormatting sqref="K30:K47">
    <cfRule type="expression" dxfId="251" priority="29">
      <formula>OR($J$19=FALSE,$G$29=FALSE)</formula>
    </cfRule>
  </conditionalFormatting>
  <conditionalFormatting sqref="K80:K82">
    <cfRule type="expression" dxfId="250" priority="12">
      <formula>$G$74=TRUE</formula>
    </cfRule>
    <cfRule type="expression" dxfId="249" priority="11">
      <formula>$G$75=TRUE</formula>
    </cfRule>
  </conditionalFormatting>
  <conditionalFormatting sqref="K293:K294">
    <cfRule type="expression" dxfId="248" priority="233">
      <formula>$K$293="OK"</formula>
    </cfRule>
    <cfRule type="expression" dxfId="247" priority="239">
      <formula>$K$293="MISSING VALUE"</formula>
    </cfRule>
  </conditionalFormatting>
  <conditionalFormatting sqref="K295:K298 K300 K536">
    <cfRule type="expression" dxfId="246" priority="224">
      <formula>$K295="MISSING VALUE"</formula>
    </cfRule>
    <cfRule type="expression" dxfId="245" priority="225">
      <formula>$K295="OK"</formula>
    </cfRule>
  </conditionalFormatting>
  <conditionalFormatting sqref="K435:K534">
    <cfRule type="expression" dxfId="244" priority="237">
      <formula>$K435=template_label_missing_value</formula>
    </cfRule>
    <cfRule type="expression" dxfId="243" priority="238">
      <formula>$K435=template_label_ok</formula>
    </cfRule>
  </conditionalFormatting>
  <conditionalFormatting sqref="L5">
    <cfRule type="expression" dxfId="242" priority="195">
      <formula>$L$5= template_label_ok</formula>
    </cfRule>
    <cfRule type="expression" dxfId="241" priority="197">
      <formula>$L$5=template_label_missing_value</formula>
    </cfRule>
  </conditionalFormatting>
  <conditionalFormatting sqref="L12">
    <cfRule type="expression" dxfId="240" priority="26">
      <formula>$L$12=template_label_value_inconsistency</formula>
    </cfRule>
    <cfRule type="expression" dxfId="239" priority="150">
      <formula>$L$12=template_label_missing_value</formula>
    </cfRule>
    <cfRule type="expression" dxfId="238" priority="220">
      <formula>$L12=template_label_ok</formula>
    </cfRule>
  </conditionalFormatting>
  <conditionalFormatting sqref="L21">
    <cfRule type="expression" dxfId="237" priority="202">
      <formula>$L$21=template_label_missing_value</formula>
    </cfRule>
    <cfRule type="expression" dxfId="236" priority="203">
      <formula>$L$21=template_label_ok</formula>
    </cfRule>
  </conditionalFormatting>
  <conditionalFormatting sqref="L22">
    <cfRule type="expression" dxfId="235" priority="213">
      <formula>$L$22="OK"</formula>
    </cfRule>
  </conditionalFormatting>
  <conditionalFormatting sqref="L22:L24">
    <cfRule type="expression" dxfId="234" priority="207">
      <formula>$L22=template_label_missing_value</formula>
    </cfRule>
  </conditionalFormatting>
  <conditionalFormatting sqref="L23:L24">
    <cfRule type="expression" dxfId="233" priority="208">
      <formula>$L23=template_label_ok</formula>
    </cfRule>
  </conditionalFormatting>
  <conditionalFormatting sqref="L30:L44">
    <cfRule type="expression" dxfId="232" priority="34">
      <formula>$L$30=template_label_ok</formula>
    </cfRule>
    <cfRule type="expression" dxfId="231" priority="35">
      <formula>$L$30=template_label_missing_value</formula>
    </cfRule>
  </conditionalFormatting>
  <conditionalFormatting sqref="L45">
    <cfRule type="expression" dxfId="230" priority="385">
      <formula>$L$45="MISSING VALUE"</formula>
    </cfRule>
    <cfRule type="expression" dxfId="229" priority="386">
      <formula>$L$45="OK"</formula>
    </cfRule>
  </conditionalFormatting>
  <conditionalFormatting sqref="L52">
    <cfRule type="expression" dxfId="228" priority="149">
      <formula>$L$52=template_label_missing_value</formula>
    </cfRule>
    <cfRule type="expression" dxfId="227" priority="236">
      <formula>$L$52=template_label_ok</formula>
    </cfRule>
  </conditionalFormatting>
  <conditionalFormatting sqref="L56:L59 L62">
    <cfRule type="expression" dxfId="226" priority="182">
      <formula>$L56=template_label_ok</formula>
    </cfRule>
    <cfRule type="expression" dxfId="225" priority="178">
      <formula>$L56=template_label_error</formula>
    </cfRule>
    <cfRule type="expression" dxfId="224" priority="181">
      <formula>$L56=template_label_missing_value</formula>
    </cfRule>
  </conditionalFormatting>
  <conditionalFormatting sqref="L62">
    <cfRule type="expression" dxfId="223" priority="234">
      <formula>$L$62="OK"</formula>
    </cfRule>
  </conditionalFormatting>
  <conditionalFormatting sqref="L74:L75">
    <cfRule type="expression" dxfId="222" priority="172">
      <formula>$L74=template_label_value_inconsistency</formula>
    </cfRule>
    <cfRule type="expression" dxfId="221" priority="2">
      <formula>$L74=template_label_value_missing_value</formula>
    </cfRule>
  </conditionalFormatting>
  <conditionalFormatting sqref="L74:L76">
    <cfRule type="expression" dxfId="220" priority="173">
      <formula>$L74=template_label_ok</formula>
    </cfRule>
  </conditionalFormatting>
  <conditionalFormatting sqref="L75">
    <cfRule type="expression" dxfId="219" priority="1">
      <formula>$L$75=template_label_missing_value</formula>
    </cfRule>
  </conditionalFormatting>
  <conditionalFormatting sqref="L76">
    <cfRule type="expression" dxfId="218" priority="171">
      <formula>$L$76=template_label_missing_value</formula>
    </cfRule>
    <cfRule type="expression" dxfId="217" priority="9">
      <formula>$L$76=template_label_invalid_url</formula>
    </cfRule>
  </conditionalFormatting>
  <conditionalFormatting sqref="L78">
    <cfRule type="expression" dxfId="216" priority="180">
      <formula>$L$78=template_label_missing_value</formula>
    </cfRule>
    <cfRule type="expression" dxfId="215" priority="8">
      <formula>$L$78=template_label_value_inconsistency</formula>
    </cfRule>
    <cfRule type="expression" dxfId="214" priority="179">
      <formula>$L$78=template_label_ok</formula>
    </cfRule>
  </conditionalFormatting>
  <conditionalFormatting sqref="L80:L179">
    <cfRule type="expression" dxfId="213" priority="176">
      <formula>$L80=template_label_missing_value</formula>
    </cfRule>
    <cfRule type="expression" dxfId="212" priority="177">
      <formula>$L80=template_label_ok</formula>
    </cfRule>
    <cfRule type="expression" dxfId="211" priority="24">
      <formula>$L80=template_label_value_inconsistency</formula>
    </cfRule>
  </conditionalFormatting>
  <conditionalFormatting sqref="L186">
    <cfRule type="expression" dxfId="210" priority="188">
      <formula>$L$186=template_label_missing_value</formula>
    </cfRule>
    <cfRule type="expression" dxfId="209" priority="187">
      <formula>$L$186=template_label_ok</formula>
    </cfRule>
  </conditionalFormatting>
  <conditionalFormatting sqref="L188">
    <cfRule type="expression" dxfId="208" priority="86">
      <formula>$D$188=template_label_value_inconsistency</formula>
    </cfRule>
  </conditionalFormatting>
  <conditionalFormatting sqref="L188:L287">
    <cfRule type="expression" dxfId="207" priority="240">
      <formula>$L188=template_label_missing_value</formula>
    </cfRule>
    <cfRule type="expression" dxfId="206" priority="189">
      <formula>$L188=template_label_value_inconcistency</formula>
    </cfRule>
    <cfRule type="expression" dxfId="205" priority="241">
      <formula>$L188=template_label_ok</formula>
    </cfRule>
  </conditionalFormatting>
  <conditionalFormatting sqref="L189:L287">
    <cfRule type="expression" dxfId="204" priority="85">
      <formula>$D$189=template_label_value_inconsistency</formula>
    </cfRule>
  </conditionalFormatting>
  <conditionalFormatting sqref="L190">
    <cfRule type="expression" dxfId="203" priority="84">
      <formula>$D$190=template_label_value_inconsistency</formula>
    </cfRule>
  </conditionalFormatting>
  <conditionalFormatting sqref="L191">
    <cfRule type="expression" dxfId="202" priority="87">
      <formula>$D$191=template_label_value_inconsistency</formula>
    </cfRule>
  </conditionalFormatting>
  <conditionalFormatting sqref="L192">
    <cfRule type="expression" dxfId="201" priority="83">
      <formula>$D$192=template_label_value_inconsistency</formula>
    </cfRule>
  </conditionalFormatting>
  <conditionalFormatting sqref="L193">
    <cfRule type="expression" dxfId="200" priority="58">
      <formula>$D$193=template_label_value_inconsistency</formula>
    </cfRule>
  </conditionalFormatting>
  <conditionalFormatting sqref="L194:L287">
    <cfRule type="expression" dxfId="199" priority="57">
      <formula>$D$194=template_label_value_inconsistency</formula>
    </cfRule>
  </conditionalFormatting>
  <conditionalFormatting sqref="L195">
    <cfRule type="expression" dxfId="198" priority="56">
      <formula>$D$195=template_label_value_inconsistency</formula>
    </cfRule>
  </conditionalFormatting>
  <conditionalFormatting sqref="L196">
    <cfRule type="expression" dxfId="197" priority="55">
      <formula>$D$196=template_label_value_inconsistency</formula>
    </cfRule>
  </conditionalFormatting>
  <conditionalFormatting sqref="L197">
    <cfRule type="expression" dxfId="196" priority="54">
      <formula>$D$197=template_label_value_inconsistency</formula>
    </cfRule>
  </conditionalFormatting>
  <conditionalFormatting sqref="L198">
    <cfRule type="expression" dxfId="195" priority="53">
      <formula>$D$198=template_label_value_inconsistency</formula>
    </cfRule>
  </conditionalFormatting>
  <conditionalFormatting sqref="L199">
    <cfRule type="expression" dxfId="194" priority="52">
      <formula>$D$199=template_label_value_inconsistency</formula>
    </cfRule>
  </conditionalFormatting>
  <conditionalFormatting sqref="L200">
    <cfRule type="expression" dxfId="193" priority="51">
      <formula>$D$200=template_label_value_inconsistency</formula>
    </cfRule>
  </conditionalFormatting>
  <conditionalFormatting sqref="L201">
    <cfRule type="expression" dxfId="192" priority="50">
      <formula>$D$201=template_label_value_inconsistency</formula>
    </cfRule>
  </conditionalFormatting>
  <conditionalFormatting sqref="L202">
    <cfRule type="expression" dxfId="191" priority="49">
      <formula>$D$202=template_label_value_inconsistency</formula>
    </cfRule>
  </conditionalFormatting>
  <conditionalFormatting sqref="L203">
    <cfRule type="expression" dxfId="190" priority="48">
      <formula>$D$203=template_label_value_inconsistency</formula>
    </cfRule>
  </conditionalFormatting>
  <conditionalFormatting sqref="L204">
    <cfRule type="expression" dxfId="189" priority="47">
      <formula>$D$204=template_label_value_inconsistency</formula>
    </cfRule>
  </conditionalFormatting>
  <conditionalFormatting sqref="L205">
    <cfRule type="expression" dxfId="188" priority="46">
      <formula>$D$205=template_label_value_inconsistency</formula>
    </cfRule>
  </conditionalFormatting>
  <conditionalFormatting sqref="L206">
    <cfRule type="expression" dxfId="187" priority="45">
      <formula>$D$206=template_label_value_inconsistency</formula>
    </cfRule>
  </conditionalFormatting>
  <conditionalFormatting sqref="L207:L208">
    <cfRule type="expression" dxfId="186" priority="43">
      <formula>$D$207=template_label_value_inconsistency</formula>
    </cfRule>
  </conditionalFormatting>
  <conditionalFormatting sqref="L209">
    <cfRule type="expression" dxfId="185" priority="42">
      <formula>$D$209=template_label_value_inconsistency</formula>
    </cfRule>
  </conditionalFormatting>
  <conditionalFormatting sqref="L210">
    <cfRule type="expression" dxfId="184" priority="41">
      <formula>$D$210=template_label_value_inconsistency</formula>
    </cfRule>
  </conditionalFormatting>
  <conditionalFormatting sqref="L211:L285">
    <cfRule type="expression" dxfId="183" priority="40">
      <formula>$D$211=template_label_value_inconsistency</formula>
    </cfRule>
  </conditionalFormatting>
  <conditionalFormatting sqref="L286">
    <cfRule type="expression" dxfId="182" priority="39">
      <formula>$D$286=template_label_value_inconsistency</formula>
    </cfRule>
  </conditionalFormatting>
  <conditionalFormatting sqref="L287">
    <cfRule type="expression" dxfId="181" priority="38">
      <formula>$D$287=template_label_value_inconsistency</formula>
    </cfRule>
  </conditionalFormatting>
  <conditionalFormatting sqref="L540:L544">
    <cfRule type="expression" dxfId="180" priority="147">
      <formula>$L540=template_label_missing_value</formula>
    </cfRule>
    <cfRule type="expression" dxfId="179" priority="231">
      <formula>$L540=template_label_ok</formula>
    </cfRule>
  </conditionalFormatting>
  <conditionalFormatting sqref="M323:M423">
    <cfRule type="expression" dxfId="178" priority="23">
      <formula>$M323=template_label_value_inconsistency</formula>
    </cfRule>
    <cfRule type="expression" dxfId="177" priority="382">
      <formula>$M323=template_label_error</formula>
    </cfRule>
    <cfRule type="expression" dxfId="176" priority="383">
      <formula>$M323=template_label_missing_value</formula>
    </cfRule>
    <cfRule type="expression" dxfId="175" priority="384">
      <formula>$M323=template_label_ok</formula>
    </cfRule>
  </conditionalFormatting>
  <conditionalFormatting sqref="M548">
    <cfRule type="expression" dxfId="174" priority="230">
      <formula>$M$548=template_label_ok</formula>
    </cfRule>
  </conditionalFormatting>
  <dataValidations count="46">
    <dataValidation type="list" allowBlank="1" showInputMessage="1" showErrorMessage="1" sqref="C186:K186 C293" xr:uid="{BB6E8662-F11B-4AE9-87E6-9BE13D672F35}">
      <formula1>enum_ListHectM2</formula1>
    </dataValidation>
    <dataValidation type="decimal" operator="equal" allowBlank="1" showInputMessage="1" showErrorMessage="1" sqref="G12:J13 C305:F305 G435:I532 D295:D298 G533:G534 H533:I533 J80:K179 J323:K422 D22:F22 D30:F44 G80:I80 D23:I24 G81:G179 G189:I287 J22:J23" xr:uid="{B2E4A370-DB82-466E-876C-1893EAE8311C}">
      <formula1>C12</formula1>
    </dataValidation>
    <dataValidation type="custom" showInputMessage="1" showErrorMessage="1" sqref="D311:F311" xr:uid="{7F95C833-AC3F-43B8-85EA-74C2C9B45EAB}">
      <formula1>IF(D310&lt;&gt;"",$D$303-$D$310,"-")</formula1>
    </dataValidation>
    <dataValidation type="custom" showInputMessage="1" showErrorMessage="1" sqref="J295:J296" xr:uid="{B409784A-89F0-4AC8-80EC-F39FF2216546}">
      <formula1>IF(AND(D295&lt;&gt;"",G295&lt;&gt;""),(G295-D295)/D295,"-")</formula1>
    </dataValidation>
    <dataValidation type="custom" allowBlank="1" showInputMessage="1" showErrorMessage="1" sqref="J297" xr:uid="{D3095E8A-212A-48DF-93B7-E970D0CBD1A9}">
      <formula1>IF(AND(D297&lt;&gt;"",G297&lt;&gt;""),(G297-D297)/D297,"-")</formula1>
    </dataValidation>
    <dataValidation type="custom" showInputMessage="1" showErrorMessage="1" sqref="J298" xr:uid="{2206BA3F-BFEC-4140-822A-A9D776739A86}">
      <formula1>IF(AND(D298&lt;&gt;"",G298&lt;&gt;""),(G298-D298)/D298,"0,00")</formula1>
    </dataValidation>
    <dataValidation type="custom" showInputMessage="1" showErrorMessage="1" sqref="L11" xr:uid="{95BA17C5-FCE1-4A28-B8C4-1D9AB3C6E781}">
      <formula1>IF(AND(G11="",J11="",K11=""),"-",SUM(G11:K11))</formula1>
    </dataValidation>
    <dataValidation type="custom" showInputMessage="1" showErrorMessage="1" sqref="K22:K26" xr:uid="{7481E956-D9C9-4330-BF36-E8C8226EB1D0}">
      <formula1>IF(AND(G22="",J22=""),"-",-(1-(J22/G22)))</formula1>
    </dataValidation>
    <dataValidation type="custom" showInputMessage="1" showErrorMessage="1" sqref="K12:K13" xr:uid="{915A2970-63C6-40B3-BD5D-257C48265E51}">
      <formula1>IF(AND(G12="",J12=""),"-",SUM(G12:J12))</formula1>
    </dataValidation>
    <dataValidation type="decimal" operator="equal" showInputMessage="1" showErrorMessage="1" sqref="G188:I188 G30:J44" xr:uid="{D0DDB1C9-A6DF-417E-95CC-00F6AC02DF64}">
      <formula1>G30</formula1>
    </dataValidation>
    <dataValidation type="list" allowBlank="1" showInputMessage="1" showErrorMessage="1" sqref="D316:G316 E543:K543" xr:uid="{0E0C7A5D-97E5-4949-8297-28F3ED32330B}">
      <formula1>enum_ListYesNo</formula1>
    </dataValidation>
    <dataValidation type="list" operator="equal" allowBlank="1" showInputMessage="1" showErrorMessage="1" sqref="J21" xr:uid="{43DD04F0-09A4-43A5-9384-4793FDFC7556}">
      <formula1>enum_ListOfFutureYears</formula1>
    </dataValidation>
    <dataValidation type="list" operator="equal" allowBlank="1" showInputMessage="1" showErrorMessage="1" sqref="G21:I21" xr:uid="{16F8FE01-CA83-4EF1-BAFC-2D9ABE2790BD}">
      <formula1>enum_ListOfPastYears</formula1>
    </dataValidation>
    <dataValidation type="decimal" operator="lessThanOrEqual" allowBlank="1" showInputMessage="1" showErrorMessage="1" sqref="D304" xr:uid="{307FEF83-D4F1-491C-ACF9-C51B8CC5FF7C}">
      <formula1>D303</formula1>
    </dataValidation>
    <dataValidation type="decimal" operator="greaterThanOrEqual" allowBlank="1" showInputMessage="1" showErrorMessage="1" sqref="D303" xr:uid="{9D83E98F-5DAC-4E06-8F35-7C9E1FB185F5}">
      <formula1>D304</formula1>
    </dataValidation>
    <dataValidation operator="equal" showInputMessage="1" showErrorMessage="1" sqref="G14:J14" xr:uid="{36F88BA9-B536-466F-993A-FC93940593F6}"/>
    <dataValidation type="decimal" operator="lessThanOrEqual" showInputMessage="1" showErrorMessage="1" sqref="G5:K5" xr:uid="{5889F029-3147-4EC0-81A4-7827C5286256}">
      <formula1>G5</formula1>
    </dataValidation>
    <dataValidation type="list" allowBlank="1" showInputMessage="1" showErrorMessage="1" sqref="C78:K78 G423:I423" xr:uid="{5B875B97-80A9-43A1-9D24-28F77F207359}">
      <formula1>enum_ListUnitMeasurement_mass_only</formula1>
    </dataValidation>
    <dataValidation type="list" allowBlank="1" showInputMessage="1" showErrorMessage="1" sqref="G323:I422 J435:J534" xr:uid="{468FA835-924F-4099-92AB-F4A9369DDA2E}">
      <formula1>enum_ListUnitMeasurement</formula1>
    </dataValidation>
    <dataValidation type="custom" showInputMessage="1" showErrorMessage="1" sqref="G10:K10 G29 J19 D309 D56:K56 G184:K184 G433:J433 E539:K539" xr:uid="{79B3037F-99D1-4D80-AEDA-79DAE4CA8778}">
      <formula1>OR(D10=TRUE,D10=FALSE)</formula1>
    </dataValidation>
    <dataValidation allowBlank="1" showInputMessage="1" showErrorMessage="1" promptTitle="Warning" prompt=" High climate impact sectors are those listed in NACE Sections A to H and Section L as defined in Annex I to_x000a_Regulation (EC) No 1893/2006._x000a_" sqref="C56" xr:uid="{552F652E-CB42-4A72-9085-99DB9DDF4FA5}"/>
    <dataValidation type="list" allowBlank="1" showInputMessage="1" showErrorMessage="1" sqref="D57:K57" xr:uid="{DD16DCD3-9948-4FCF-82A3-38FD54885DEB}">
      <formula1>enum_ImplementationStatus</formula1>
    </dataValidation>
    <dataValidation allowBlank="1" showInputMessage="1" showErrorMessage="1" promptTitle="GHG intensity location based" prompt="total GHG emissions location based / turnover" sqref="C66:F66 C68:F68" xr:uid="{3D30DB62-CBD1-4832-B529-C45860071600}"/>
    <dataValidation allowBlank="1" showInputMessage="1" showErrorMessage="1" promptTitle="GHG intensity market based" prompt="total GHG emissions market based / turnover" sqref="C67:F67 C69:F69" xr:uid="{6C5EBFD2-F3E6-457C-89FE-287DD4F6CFBB}"/>
    <dataValidation allowBlank="1" showInputMessage="1" showErrorMessage="1" promptTitle="Formula" prompt="Water consumption = Water withdrawal - Water discharge from undertaking production processes" sqref="C311" xr:uid="{273E5F27-9CA2-4255-9DDB-A8BFDBFD4525}"/>
    <dataValidation type="custom" showInputMessage="1" showErrorMessage="1" sqref="D25:J25" xr:uid="{872D81DA-BAD6-4809-89DD-0C9EF998EEDF}">
      <formula1>IF(AND(D22="",D23=""),"-",SUM(D22,D23))</formula1>
    </dataValidation>
    <dataValidation type="custom" showInputMessage="1" showErrorMessage="1" sqref="D26:J26" xr:uid="{7A443401-04C0-405E-8E6F-6079A18DA311}">
      <formula1>IF(OR(D22="",D24=""),"-",SUM(D22,D24))</formula1>
    </dataValidation>
    <dataValidation type="list" allowBlank="1" showInputMessage="1" showErrorMessage="1" sqref="C188:C287" xr:uid="{1F4C2619-5EB1-4404-A206-97996D90405F}">
      <formula1>IdentifierOfSiteTypedAxis</formula1>
    </dataValidation>
    <dataValidation type="custom" allowBlank="1" showInputMessage="1" showErrorMessage="1" sqref="K30:K47" xr:uid="{5C9C1647-5771-45C5-B90A-9E87FA9B94F0}">
      <formula1>IF(AND(G30="-",J30="-"),"-",-(1-(J30/G30)))</formula1>
    </dataValidation>
    <dataValidation type="custom" showInputMessage="1" showErrorMessage="1" sqref="D46:F46" xr:uid="{44F45501-5837-46C3-96B1-E4222DA4C3C6}">
      <formula1>IF(G29=FALSE, "-", IF(AND(D22="", D23="", D45=""), "-", IF(SUM(D22, D23, D45)=0, "-", SUM(D22, D23, D45))))</formula1>
    </dataValidation>
    <dataValidation type="custom" showInputMessage="1" showErrorMessage="1" sqref="D47:F47" xr:uid="{E4B2B9D1-B383-4B4F-B790-D64C7B78A755}">
      <formula1>IF(G29=FALSE,"-",IF(OR(D22="",D24="",D45=""),"-",SUM(D22,D24,D45)))</formula1>
    </dataValidation>
    <dataValidation type="custom" showInputMessage="1" showErrorMessage="1" sqref="G46:I46" xr:uid="{0751A80F-F799-486B-8A58-C1479490F9B3}">
      <formula1>IF(G29=FALSE, "-", IF(AND(G22="", G23="", G45=""), "-", IF(SUM(G22, G23, G45)=0, "-", SUM(G22, G23, G45))))</formula1>
    </dataValidation>
    <dataValidation type="custom" showInputMessage="1" showErrorMessage="1" sqref="J46" xr:uid="{E43EE622-6D1B-413F-AB34-081C8173F6D4}">
      <formula1>IF(G29=FALSE, "-", IF(AND(J22="", J23="", J45=""), "-", IF(SUM(J22, J23, J45)=0, "-", SUM(J22, J23, J45))))</formula1>
    </dataValidation>
    <dataValidation type="custom" showInputMessage="1" showErrorMessage="1" sqref="J188:J287" xr:uid="{59814BE8-8296-41E6-93BC-6FEFD17DA5F5}">
      <formula1>IF(K188=TRUE,FALSE,TRUE)</formula1>
    </dataValidation>
    <dataValidation type="custom" showInputMessage="1" showErrorMessage="1" sqref="K188:K287" xr:uid="{88A1E46D-E83C-4E9F-A0DE-55C292A1A46D}">
      <formula1>IF(J188=TRUE,FALSE,TRUE)</formula1>
    </dataValidation>
    <dataValidation type="custom" allowBlank="1" showInputMessage="1" showErrorMessage="1" sqref="G74:K74" xr:uid="{6E2338D0-2F0D-4D0A-B4CA-1A58E7B2BF06}">
      <formula1>OR(G74=TRUE,G74=FALSE)</formula1>
    </dataValidation>
    <dataValidation type="list" allowBlank="1" showInputMessage="1" showErrorMessage="1" sqref="D80:F179" xr:uid="{F72FC679-E517-46A1-8346-75FC58B90566}">
      <formula1>enum_ListPollutants</formula1>
    </dataValidation>
    <dataValidation type="decimal" operator="lessThanOrEqual" allowBlank="1" showInputMessage="1" showErrorMessage="1" sqref="D310" xr:uid="{C9BF1CFC-1624-433F-AC79-2FA2FCF246EA}">
      <formula1>D303</formula1>
    </dataValidation>
    <dataValidation type="list" allowBlank="1" showInputMessage="1" showErrorMessage="1" sqref="I59:K59" xr:uid="{A2F67FB3-8D80-44E5-B4D9-38272DD5BBE5}">
      <formula1>enum_ListOfFutureYears</formula1>
    </dataValidation>
    <dataValidation type="list" allowBlank="1" showInputMessage="1" showErrorMessage="1" sqref="I60:K60" xr:uid="{3AB71E39-AEC7-4282-98CD-7DD433B069AA}">
      <formula1>enum_ListMonth</formula1>
    </dataValidation>
    <dataValidation type="list" allowBlank="1" showInputMessage="1" showErrorMessage="1" sqref="I61:K61" xr:uid="{DD05FCA5-8F67-490C-B21F-4D0482E1FD75}">
      <formula1>enum_ListDays</formula1>
    </dataValidation>
    <dataValidation type="decimal" operator="greaterThanOrEqual" allowBlank="1" showInputMessage="1" showErrorMessage="1" sqref="G22:I22" xr:uid="{C6E81543-3F7B-449E-B130-59140CE64924}">
      <formula1>J22</formula1>
    </dataValidation>
    <dataValidation type="decimal" operator="equal" showInputMessage="1" showErrorMessage="1" promptTitle="Warning (if applicable)" sqref="J24" xr:uid="{A2145979-D2B9-4B59-A910-5926E9B28F15}">
      <formula1>J24</formula1>
    </dataValidation>
    <dataValidation allowBlank="1" showInputMessage="1" showErrorMessage="1" promptTitle="Additional rows" sqref="D437:F437" xr:uid="{AEF9E320-326D-4C50-A483-ABF8EA93704A}"/>
    <dataValidation type="list" allowBlank="1" showInputMessage="1" showErrorMessage="1" sqref="D323:F422" xr:uid="{86ED8F12-3B15-41F8-A482-BBF69AEAD6D3}">
      <formula1>enum_ListTypeOfWastes</formula1>
    </dataValidation>
    <dataValidation type="list" showInputMessage="1" showErrorMessage="1" sqref="G75:K75" xr:uid="{2E8FFDAE-148E-4597-9D63-2F06408AAD0B}">
      <formula1>enum_list_true_false</formula1>
    </dataValidation>
  </dataValidations>
  <hyperlinks>
    <hyperlink ref="C14:F14" location="template_FUEL_CONVERTER" display="Fuels (see Fuel Converter on Fuels worksheet)" xr:uid="{A029E2CF-74B8-43AA-80AE-64A2E02A3995}"/>
    <hyperlink ref="C3:K3" r:id="rId1" display="https://knowledgehub.efrag.org/eng/interactive/vsme/vsme-standard-annex-i/2025-07-30-ec-rec/29" xr:uid="{0C164CFA-71E1-4DB2-9DBA-A0D13798AA0B}"/>
    <hyperlink ref="C4:K4" r:id="rId2" display="18-25" xr:uid="{C698B175-114F-4856-95C3-BDF0442D32C4}"/>
    <hyperlink ref="C8:K8" r:id="rId3" display="https://knowledgehub.efrag.org/eng/interactive/vsme/vsme-standard-annex-i/2025-07-30-ec-rec/29" xr:uid="{631FA8B0-1E4E-4DA0-A69C-09741D5274FD}"/>
    <hyperlink ref="C9:K9" r:id="rId4" display="18-25" xr:uid="{E55346FD-5198-4DEF-A393-2C9C313F10F3}"/>
    <hyperlink ref="C17:F17" r:id="rId5" display="https://knowledgehub.efrag.org/eng/interactive/vsme/vsme-standard-annex-i/2025-07-30-ec-rec/30" xr:uid="{BA4D96A1-7DB2-4A4C-A936-600D48BCB68D}"/>
    <hyperlink ref="G17:I17" r:id="rId6" display="54(b)" xr:uid="{E0D46830-D4B8-4B45-AE8A-B9FD8AB49CB0}"/>
    <hyperlink ref="J17" r:id="rId7" xr:uid="{FDB626AB-21B0-457E-A48E-92C5D02C2359}"/>
    <hyperlink ref="K17" r:id="rId8" xr:uid="{32335B75-108C-425D-B01F-DBA8A5C991D2}"/>
    <hyperlink ref="D18:F18" r:id="rId9" display="26-45" xr:uid="{2F3459F7-35F8-47D9-B9E1-C7EF1D0DB327}"/>
    <hyperlink ref="G18:I18" r:id="rId10" display="152-158" xr:uid="{B6C23CDF-49E2-473B-95C0-1647E86B1D46}"/>
    <hyperlink ref="J18" r:id="rId11" xr:uid="{418FE2A7-A9D2-4052-9E5E-C57BFCCBB795}"/>
    <hyperlink ref="K18" r:id="rId12" xr:uid="{DF7ABD5B-C18C-422C-B1E1-CC2E06A5CA8F}"/>
    <hyperlink ref="C27:F27" r:id="rId13" display="50-53" xr:uid="{23B45874-5C55-4974-AEA4-5728DF471027}"/>
    <hyperlink ref="G27:J27" r:id="rId14" display="https://knowledgehub.efrag.org/eng/interactive/vsme/vsme-standard-annex-i/2025-07-30-ec-rec/54/d" xr:uid="{FEEB300F-B2B5-4E1E-AD70-86CC9BE9215E}"/>
    <hyperlink ref="D28:F28" r:id="rId15" display="150-151" xr:uid="{7F405085-2CCD-424A-B7EE-8DDF92DB8A9F}"/>
    <hyperlink ref="C50:K50" r:id="rId16" display="54(e)" xr:uid="{CCBF0462-1DD0-4C62-B58C-FBF5599770A9}"/>
    <hyperlink ref="C51:K51" r:id="rId17" display="https://knowledgehub.efrag.org/eng/interactive/vsme/vsme-guidance-annex-ii/2025-07-30-ec-rec/159" xr:uid="{0CB1274C-1ACD-4B01-93D6-B3FFD799AF82}"/>
    <hyperlink ref="A56" r:id="rId18" display="https://knowledgehub.efrag.org/eng/interactive/vsme/vsme-standard-annex-i/2025-07-30-ec-rec/55" xr:uid="{E4F95DAF-B78F-4521-B1A6-2E2DDFE5C1D6}"/>
    <hyperlink ref="A57" r:id="rId19" display="https://knowledgehub.efrag.org/eng/interactive/vsme/vsme-standard-annex-i/2025-07-30-ec-rec/55" xr:uid="{09B8A83D-A5B1-43EC-B662-30991110F5F0}"/>
    <hyperlink ref="A58" r:id="rId20" display="https://knowledgehub.efrag.org/eng/interactive/vsme/vsme-standard-annex-i/2025-07-30-ec-rec/55" xr:uid="{6908E780-C5C2-4962-BD73-94B740E9E219}"/>
    <hyperlink ref="A59:A62" r:id="rId21" display="https://knowledgehub.efrag.org/eng/interactive/vsme/vsme-standard-annex-i/2025-07-30-ec-rec/56" xr:uid="{35B279A4-C468-4B59-A4B2-33430A35D184}"/>
    <hyperlink ref="B56" r:id="rId22" xr:uid="{2EC85EAB-54ED-42DE-8B0C-CD0FD206AFC6}"/>
    <hyperlink ref="B57" r:id="rId23" xr:uid="{FC8C6AD1-465E-4BAD-9732-E12C57A51F56}"/>
    <hyperlink ref="B58" r:id="rId24" xr:uid="{5BB13B4F-F442-45B0-A75E-09E29FEE1828}"/>
    <hyperlink ref="B59:B62" r:id="rId25" display="160-163" xr:uid="{9000F9A8-73A4-4733-B106-ABC9D7237B8C}"/>
    <hyperlink ref="C65:K65" r:id="rId26" display="https://knowledgehub.efrag.org/eng/interactive/vsme/vsme-standard-annex-i/2025-07-30-ec-rec/31" xr:uid="{CEA9C623-B7F9-4F2D-B368-4738243ED8F1}"/>
    <hyperlink ref="C72:K72" r:id="rId27" display="https://knowledgehub.efrag.org/eng/interactive/vsme/vsme-standard-annex-i/2025-07-30-ec-rec/b4-pollution-of-air-water-and-soil" xr:uid="{EAC5F272-9A84-4C1A-8DB4-4F014FFBB506}"/>
    <hyperlink ref="C73:K73" r:id="rId28" display="46-69" xr:uid="{582EB8BF-7BE2-444C-AB1D-575C9B9A9037}"/>
    <hyperlink ref="C182:K182" r:id="rId29" display="https://knowledgehub.efrag.org/eng/interactive/vsme/vsme-standard-annex-i/2025-07-30-ec-rec/33" xr:uid="{D931A0A0-C6AB-4FDA-A67D-A75BBE1024CD}"/>
    <hyperlink ref="C183:K183" r:id="rId30" display="70-73" xr:uid="{12B3AF73-4499-40A3-BC69-1DBB85ABB568}"/>
    <hyperlink ref="C290:F290" r:id="rId31" display="https://knowledgehub.efrag.org/eng/interactive/vsme/vsme-standard-annex-i/2025-07-30-ec-rec/34" xr:uid="{6AB5B4FE-505E-4BB6-8C4F-7690C7CD082E}"/>
    <hyperlink ref="C291:F291" r:id="rId32" display="74-76" xr:uid="{86B7FCCF-8D04-4B80-96AA-FCBAB7A39129}"/>
    <hyperlink ref="C301:D301" r:id="rId33" display="https://knowledgehub.efrag.org/eng/interactive/vsme/vsme-standard-annex-i/2025-07-30-ec-rec/35" xr:uid="{33F0AB59-940C-427C-B0AE-67C219E389AB}"/>
    <hyperlink ref="C302:D302" r:id="rId34" display="77-93" xr:uid="{91D9077A-27E9-4B40-AC10-EC15ED7E80A3}"/>
    <hyperlink ref="C307:D307" r:id="rId35" display="https://knowledgehub.efrag.org/eng/interactive/vsme/vsme-standard-annex-i/2025-07-30-ec-rec/36" xr:uid="{FBB60CFB-5AB2-4F8A-9B8D-3A84E1523635}"/>
    <hyperlink ref="C308:D308" r:id="rId36" display="77-90" xr:uid="{0917CD4B-73A8-4223-8588-F3AC7391580B}"/>
    <hyperlink ref="C314:G314" r:id="rId37" display="https://knowledgehub.efrag.org/eng/interactive/vsme/vsme-standard-annex-i/2025-07-30-ec-rec/37" xr:uid="{8BC5D105-CDEF-4750-9613-AD2A5A6F7175}"/>
    <hyperlink ref="C315:G315" r:id="rId38" display="https://knowledgehub.efrag.org/eng/interactive/vsme/vsme-guidance-annex-ii/2025-07-30-ec-rec/94" xr:uid="{C7D2AD13-21B3-48A3-9F43-7901BD95CE4A}"/>
    <hyperlink ref="C320:L320" r:id="rId39" display="38(a) and 38(b)" xr:uid="{D79E5006-95C8-4909-8E37-6A2D4396B593}"/>
    <hyperlink ref="C321:L321" r:id="rId40" display="95-107" xr:uid="{604EE79D-F83A-4C1D-A5DB-C9E193A7B76E}"/>
    <hyperlink ref="C431:J431" r:id="rId41" display="38(c)" xr:uid="{D8316060-B1B4-494D-BFBD-2861E9B461E7}"/>
    <hyperlink ref="C432:J432" r:id="rId42" display="108-109" xr:uid="{47398501-4A43-4687-B878-208AD68C1A6F}"/>
    <hyperlink ref="A540" r:id="rId43" xr:uid="{C18B7DDE-01EF-4304-AE6E-D03FC641002E}"/>
    <hyperlink ref="A541" r:id="rId44" xr:uid="{36491B5E-38EA-4E22-90DC-7A33AEF7C990}"/>
    <hyperlink ref="A542" r:id="rId45" xr:uid="{F6595B04-21F6-4375-9859-016C59F42EC1}"/>
    <hyperlink ref="A543" r:id="rId46" xr:uid="{B8EE32F5-085E-49E8-B572-05C2A5A46F75}"/>
    <hyperlink ref="B540" r:id="rId47" xr:uid="{5505A2FD-481B-468E-ADE0-9B3060737E76}"/>
    <hyperlink ref="B541" r:id="rId48" xr:uid="{45BA1752-7495-41F4-9110-F073991CC116}"/>
    <hyperlink ref="B542" r:id="rId49" xr:uid="{A5151E98-B014-4293-8B92-DD97817FD95D}"/>
    <hyperlink ref="B543" r:id="rId50" xr:uid="{EA3D1957-E13C-4130-AB9E-A6C44D57E978}"/>
    <hyperlink ref="B544" r:id="rId51" xr:uid="{05AB6E40-E54E-4A38-9C19-3962A779DE4E}"/>
    <hyperlink ref="A544" r:id="rId52" display="https://knowledgehub.efrag.org/eng/interactive/vsme/vsme-standard-annex-i/2025-07-30-ec-rec/58" xr:uid="{BCC41383-A442-4D3D-AF7E-3D42FCF59127}"/>
    <hyperlink ref="C547:L547" r:id="rId53" display="https://knowledgehub.efrag.org/eng/interactive/vsme/vsme-standard-annex-i/2025-07-30-ec-rec/10" xr:uid="{0DE82273-B070-499E-823E-F20E57398F44}"/>
    <hyperlink ref="A55:B55" r:id="rId54" display="https://www.efrag.org/en/vsme-supporting-guide-on-disclosure-c3-comprehensive-module-ghg-reduction-targets-and-climate" xr:uid="{13A6EA08-094C-47D0-8292-17FE4E81C54D}"/>
  </hyperlinks>
  <pageMargins left="0.7" right="0.7" top="0.75" bottom="0.75" header="0.3" footer="0.3"/>
  <pageSetup orientation="portrait" r:id="rId55"/>
  <drawing r:id="rId5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5E32A-1E4A-4F0D-9737-23BF22D3D4EB}">
  <sheetPr codeName="Sheet7"/>
  <dimension ref="A1:V200"/>
  <sheetViews>
    <sheetView zoomScaleNormal="100" workbookViewId="0"/>
  </sheetViews>
  <sheetFormatPr baseColWidth="10" defaultColWidth="8.88671875" defaultRowHeight="14.4" outlineLevelRow="1" x14ac:dyDescent="0.3"/>
  <cols>
    <col min="1" max="2" width="10" style="10" bestFit="1" customWidth="1"/>
    <col min="3" max="3" width="73.88671875" style="10" customWidth="1"/>
    <col min="4" max="4" width="38.109375" style="10" customWidth="1"/>
    <col min="5" max="5" width="27.88671875" style="10" customWidth="1"/>
    <col min="6" max="7" width="8.88671875" style="10"/>
    <col min="8" max="8" width="25.5546875" style="10" customWidth="1"/>
    <col min="9" max="9" width="21.33203125" style="10" bestFit="1" customWidth="1"/>
    <col min="10" max="16384" width="8.88671875" style="10"/>
  </cols>
  <sheetData>
    <row r="1" spans="1:8" ht="43.8" thickBot="1" x14ac:dyDescent="0.35">
      <c r="A1" s="218" t="str">
        <f>template_label_paragraph_reference</f>
        <v>Référence de paragraphe</v>
      </c>
      <c r="B1" s="218" t="str">
        <f>template_label_paragraph_guidance_reference</f>
        <v>Référence de paragraphe des orientations</v>
      </c>
    </row>
    <row r="2" spans="1:8" ht="15" thickBot="1" x14ac:dyDescent="0.35">
      <c r="C2" s="972" t="str">
        <f>template_label_employee_counting_methodology_for_the_disclosures_below_headcount_full_time_equivalent</f>
        <v>Méthodologie de comptage des effectifs pour les informations ci-dessous (effectif ou équivalent temps plein lié à B1)</v>
      </c>
      <c r="D2" s="973"/>
      <c r="E2" s="974"/>
      <c r="F2" s="982" t="str">
        <f>IF('General Information'!$E$286="","-",'General Information'!$E$286)</f>
        <v>-</v>
      </c>
      <c r="G2" s="982"/>
      <c r="H2" s="983"/>
    </row>
    <row r="3" spans="1:8" ht="15" thickBot="1" x14ac:dyDescent="0.35">
      <c r="C3" s="984" t="str">
        <f>template_label_employee_counting_methodology_for_the_disclosures_below_period</f>
        <v>Méthodologie de comptage des effectifs pour les informations ci-dessous (à la fin de la période de reporting ou en moyenne sur la période de reporting liée à B1)</v>
      </c>
      <c r="D3" s="984"/>
      <c r="E3" s="984"/>
      <c r="F3" s="975" t="str">
        <f>IF('General Information'!$E$285="","-",'General Information'!$E$285)</f>
        <v>-</v>
      </c>
      <c r="G3" s="976"/>
      <c r="H3" s="977"/>
    </row>
    <row r="4" spans="1:8" ht="15" hidden="1" thickBot="1" x14ac:dyDescent="0.35">
      <c r="C4" s="972" t="str">
        <f>template_label_basis_for_preparation</f>
        <v>Base de préparation (Module de base uniquement ou Modules de base &amp; complet)</v>
      </c>
      <c r="D4" s="973"/>
      <c r="E4" s="974"/>
      <c r="F4" s="975">
        <f>BasisForPreparation</f>
        <v>0</v>
      </c>
      <c r="G4" s="976"/>
      <c r="H4" s="977"/>
    </row>
    <row r="5" spans="1:8" ht="15" thickBot="1" x14ac:dyDescent="0.35"/>
    <row r="6" spans="1:8" ht="15" thickBot="1" x14ac:dyDescent="0.35">
      <c r="C6" s="634" t="str">
        <f>template_label_b8_workforce_general_characteristics_type_of_contract&amp;" "&amp;template_label_always_to_be_reported</f>
        <v xml:space="preserve">B8 –   Personnel – Caractéristiques générales  - Type de contrat [Toujours à reporter] 
</v>
      </c>
      <c r="D6" s="781"/>
      <c r="E6" s="781"/>
      <c r="F6" s="781"/>
      <c r="G6" s="782"/>
      <c r="H6"/>
    </row>
    <row r="7" spans="1:8" x14ac:dyDescent="0.3">
      <c r="C7" s="636" t="s">
        <v>54</v>
      </c>
      <c r="D7" s="783"/>
      <c r="E7" s="783"/>
      <c r="F7" s="783"/>
      <c r="G7" s="784"/>
    </row>
    <row r="8" spans="1:8" x14ac:dyDescent="0.3">
      <c r="C8" s="645" t="s">
        <v>55</v>
      </c>
      <c r="D8" s="622"/>
      <c r="E8" s="622"/>
      <c r="F8" s="622"/>
      <c r="G8" s="741"/>
    </row>
    <row r="9" spans="1:8" x14ac:dyDescent="0.3">
      <c r="C9" s="403" t="str">
        <f>template_label_type_of_contract</f>
        <v>Type de contrat</v>
      </c>
      <c r="D9" s="985" t="str">
        <f>template_label_number_of_employees</f>
        <v>Nombre de salariés</v>
      </c>
      <c r="E9" s="985"/>
      <c r="F9" s="985"/>
      <c r="G9" s="986"/>
      <c r="H9" s="127"/>
    </row>
    <row r="10" spans="1:8" x14ac:dyDescent="0.3">
      <c r="C10" s="128" t="str">
        <f>template_label_permanent_contract</f>
        <v>Contrat de travail à durée indéterminée</v>
      </c>
      <c r="D10" s="907"/>
      <c r="E10" s="907"/>
      <c r="F10" s="907"/>
      <c r="G10" s="908"/>
      <c r="H10" s="15" t="str">
        <f>IF(OR(
'Table of Contents &amp; Validation'!D38=TRUE,'Table of Contents &amp; Validation'!D37=TRUE),
IF(
    AND(
        OR(
            'General Information'!E125="Option A (Basic Module only)",
            'General Information'!E125="Option B (Basic Module and Comprehensive Module)"
        ),
        D10=""
    ),
    "",
    IF('General Information'!E125="",
        "",
        template_label_ok
    )
),
IF(
    AND(
        OR(
            'General Information'!E125="Option A (Basic Module only)",
            'General Information'!E125="Option B (Basic Module and Comprehensive Module)"
        ),
        D10=""
    ),
    template_label_missing_value,
    IF('General Information'!E125="",
        "",
        template_label_ok
    )
)
)</f>
        <v/>
      </c>
    </row>
    <row r="11" spans="1:8" x14ac:dyDescent="0.3">
      <c r="C11" s="128" t="str">
        <f>template_label_temporary_contract</f>
        <v>Contrat de travail à durée déterminée</v>
      </c>
      <c r="D11" s="988" t="str">
        <f>IFERROR(IF(D10="", "-", $D$12 - $D$10), "-")</f>
        <v>-</v>
      </c>
      <c r="E11" s="988"/>
      <c r="F11" s="988"/>
      <c r="G11" s="989"/>
      <c r="H11" s="15"/>
    </row>
    <row r="12" spans="1:8" ht="15" thickBot="1" x14ac:dyDescent="0.35">
      <c r="C12" s="404" t="str">
        <f>template_label_total_employees</f>
        <v>Nombre total de salariés (lié à B1)</v>
      </c>
      <c r="D12" s="990" t="str">
        <f>IF('General Information'!$E$284="", "-", VALUE(SUBSTITUTE('General Information'!$E$284, "-", "0")))</f>
        <v>-</v>
      </c>
      <c r="E12" s="990"/>
      <c r="F12" s="990"/>
      <c r="G12" s="991"/>
      <c r="H12" s="17"/>
    </row>
    <row r="13" spans="1:8" ht="15" thickBot="1" x14ac:dyDescent="0.35"/>
    <row r="14" spans="1:8" ht="15" thickBot="1" x14ac:dyDescent="0.35">
      <c r="C14" s="634" t="str">
        <f>template_label_b8_workforce_general_characteristics_gender&amp;" "&amp;template_label_always_to_be_reported</f>
        <v xml:space="preserve">B8 –   Personnel – Caractéristiques générales  - Genre [Toujours à reporter] 
</v>
      </c>
      <c r="D14" s="781"/>
      <c r="E14" s="781"/>
      <c r="F14" s="781"/>
      <c r="G14" s="782"/>
      <c r="H14"/>
    </row>
    <row r="15" spans="1:8" x14ac:dyDescent="0.3">
      <c r="C15" s="636" t="s">
        <v>56</v>
      </c>
      <c r="D15" s="783"/>
      <c r="E15" s="783"/>
      <c r="F15" s="783"/>
      <c r="G15" s="784"/>
    </row>
    <row r="16" spans="1:8" x14ac:dyDescent="0.3">
      <c r="C16" s="645" t="s">
        <v>55</v>
      </c>
      <c r="D16" s="622"/>
      <c r="E16" s="622"/>
      <c r="F16" s="622"/>
      <c r="G16" s="741"/>
    </row>
    <row r="17" spans="3:22" x14ac:dyDescent="0.3">
      <c r="C17" s="403" t="str">
        <f>template_label_gender</f>
        <v>Genre</v>
      </c>
      <c r="D17" s="985" t="str">
        <f>template_label_number_of_employees</f>
        <v>Nombre de salariés</v>
      </c>
      <c r="E17" s="985"/>
      <c r="F17" s="985"/>
      <c r="G17" s="986"/>
    </row>
    <row r="18" spans="3:22" x14ac:dyDescent="0.3">
      <c r="C18" s="128" t="str">
        <f>template_label_male</f>
        <v>Homme</v>
      </c>
      <c r="D18" s="907"/>
      <c r="E18" s="907"/>
      <c r="F18" s="907"/>
      <c r="G18" s="908"/>
      <c r="H18" s="987" t="str">
        <f>IF(OR(
'Table of Contents &amp; Validation'!D39=TRUE,'Table of Contents &amp; Validation'!D37=TRUE),
IF(
'General Information'!E284="",
IF(
OR(
'General Information'!E125="Option A (Basic Module only)",
'General Information'!E125="Option B (Basic Module and Comprehensive Module)"
),
IF(
NumberOfMaleEmployees
+NumberOfFemaleEmployees
+NumberOfOtherGenderEmployees
+NumberOfNonReportedGenderEmployees
=D22,
template_label_ok,
""
),
""
),
IF(
OR(
'General Information'!E125="Option A (Basic Module only)",
'General Information'!E125="Option B (Basic Module and Comprehensive Module)"
),
IF(
NumberOfMaleEmployees
+NumberOfFemaleEmployees
+NumberOfOtherGenderEmployees
+NumberOfNonReportedGenderEmployees
=D22,
template_label_ok,
""
),
""
)
),
IF(
'General Information'!E284="",
IF(
OR(
'General Information'!E125="Option A (Basic Module only)",
'General Information'!E125="Option B (Basic Module and Comprehensive Module)"
),
IF(
NumberOfMaleEmployees
+NumberOfFemaleEmployees
+NumberOfOtherGenderEmployees
+NumberOfNonReportedGenderEmployees
=D22,
template_label_ok,
template_label_missing_value
),
""
),
IF(
OR(
'General Information'!E125="Option A (Basic Module only)",
'General Information'!E125="Option B (Basic Module and Comprehensive Module)"
),
IF(
NumberOfMaleEmployees
+NumberOfFemaleEmployees
+NumberOfOtherGenderEmployees
+NumberOfNonReportedGenderEmployees
=D22,
template_label_ok,
template_label_value_inconsistency
),
""
)
)
)</f>
        <v/>
      </c>
      <c r="I18" s="980" t="str">
        <f>template_label_number_of_employees_warning</f>
        <v>ℹ️ Veuillez vous assurer que le nombre total de salariés est identique à celui indiqué dans la cellule E55 de la feuille « Informations générales »</v>
      </c>
      <c r="J18" s="980"/>
      <c r="K18" s="980"/>
      <c r="L18" s="980"/>
      <c r="M18" s="980"/>
    </row>
    <row r="19" spans="3:22" x14ac:dyDescent="0.3">
      <c r="C19" s="128" t="str">
        <f>template_label_female</f>
        <v>Femme</v>
      </c>
      <c r="D19" s="907"/>
      <c r="E19" s="907"/>
      <c r="F19" s="907"/>
      <c r="G19" s="908"/>
      <c r="H19" s="987"/>
      <c r="I19" s="980"/>
      <c r="J19" s="980"/>
      <c r="K19" s="980"/>
      <c r="L19" s="980"/>
      <c r="M19" s="980"/>
    </row>
    <row r="20" spans="3:22" x14ac:dyDescent="0.3">
      <c r="C20" s="128" t="str">
        <f>template_label_other</f>
        <v>Autre</v>
      </c>
      <c r="D20" s="907"/>
      <c r="E20" s="907"/>
      <c r="F20" s="907"/>
      <c r="G20" s="908"/>
      <c r="H20" s="987"/>
      <c r="I20" s="980"/>
      <c r="J20" s="980"/>
      <c r="K20" s="980"/>
      <c r="L20" s="980"/>
      <c r="M20" s="980"/>
    </row>
    <row r="21" spans="3:22" x14ac:dyDescent="0.3">
      <c r="C21" s="128" t="str">
        <f>template_label_not_reported</f>
        <v>Non communiqué</v>
      </c>
      <c r="D21" s="907"/>
      <c r="E21" s="907"/>
      <c r="F21" s="907"/>
      <c r="G21" s="908"/>
      <c r="H21" s="987"/>
      <c r="I21" s="980"/>
      <c r="J21" s="980"/>
      <c r="K21" s="980"/>
      <c r="L21" s="980"/>
      <c r="M21" s="980"/>
    </row>
    <row r="22" spans="3:22" ht="15" thickBot="1" x14ac:dyDescent="0.35">
      <c r="C22" s="404" t="str">
        <f>template_label_total_employees</f>
        <v>Nombre total de salariés (lié à B1)</v>
      </c>
      <c r="D22" s="990" t="str">
        <f>IF('General Information'!$E$284="","-",'General Information'!$E$284)</f>
        <v>-</v>
      </c>
      <c r="E22" s="990"/>
      <c r="F22" s="990"/>
      <c r="G22" s="991"/>
      <c r="H22" s="18"/>
    </row>
    <row r="23" spans="3:22" ht="15" thickBot="1" x14ac:dyDescent="0.35"/>
    <row r="24" spans="3:22" ht="15" thickBot="1" x14ac:dyDescent="0.35">
      <c r="C24" s="634" t="str">
        <f>template_label_b8_workforce_general_characteristics_country_of_employment&amp;" "&amp;template_label_if_applicable</f>
        <v>B8 –   Personnel – Caractéristiques générales  - Pays d'emploi [Le cas échéant]</v>
      </c>
      <c r="D24" s="781"/>
      <c r="E24" s="781"/>
      <c r="F24" s="781"/>
      <c r="G24" s="781"/>
      <c r="H24" s="782"/>
    </row>
    <row r="25" spans="3:22" x14ac:dyDescent="0.3">
      <c r="C25" s="636" t="s">
        <v>57</v>
      </c>
      <c r="D25" s="783"/>
      <c r="E25" s="783"/>
      <c r="F25" s="783"/>
      <c r="G25" s="783"/>
      <c r="H25" s="784"/>
    </row>
    <row r="26" spans="3:22" x14ac:dyDescent="0.3">
      <c r="C26" s="645" t="s">
        <v>55</v>
      </c>
      <c r="D26" s="622"/>
      <c r="E26" s="622"/>
      <c r="F26" s="622"/>
      <c r="G26" s="622"/>
      <c r="H26" s="741"/>
    </row>
    <row r="27" spans="3:22" x14ac:dyDescent="0.3">
      <c r="C27" s="992" t="str">
        <f>template_label_undertaking_operating_in_more_than_one_country</f>
        <v>L'entreprise exerce-t-elle ses activités dans plus d'un pays ?</v>
      </c>
      <c r="D27" s="993"/>
      <c r="E27" s="771" t="b">
        <v>0</v>
      </c>
      <c r="F27" s="771"/>
      <c r="G27" s="771"/>
      <c r="H27" s="652"/>
    </row>
    <row r="28" spans="3:22" x14ac:dyDescent="0.3">
      <c r="C28" s="946" t="str">
        <f>template_label_country_of_employment_contract</f>
        <v>Pays du contrat de travail</v>
      </c>
      <c r="D28" s="865"/>
      <c r="E28" s="985" t="str">
        <f>template_label_number_of_employees</f>
        <v>Nombre de salariés</v>
      </c>
      <c r="F28" s="985"/>
      <c r="G28" s="985"/>
      <c r="H28" s="986"/>
    </row>
    <row r="29" spans="3:22" ht="14.7" customHeight="1" x14ac:dyDescent="0.3">
      <c r="C29" s="947"/>
      <c r="D29" s="948"/>
      <c r="E29" s="978"/>
      <c r="F29" s="978"/>
      <c r="G29" s="978"/>
      <c r="H29" s="979"/>
      <c r="I29" s="15" t="str">
        <f t="shared" ref="I29:I60" si="0">IF(
    AND(C29="", E29=""),
    "",
    IF(
        AND(C29&lt;&gt;"", E29=""),
        template_label_missing_value,
        IF(
            AND(C29&lt;&gt;"", E29&lt;&gt;""),
            IF(
                SUM($E$29:$E$128)&lt;$E$129,
                template_label_missing_value,
                IF(
                    COUNTIF($C$29:$C$128, C29) &gt; 1,
                    template_label_value_inconsistency,
                    template_label_ok
                )
            ),
            template_label_missing_value
        )
    )
)</f>
        <v/>
      </c>
      <c r="J29" s="981" t="str">
        <f>template_label_number_of_employees_warning</f>
        <v>ℹ️ Veuillez vous assurer que le nombre total de salariés est identique à celui indiqué dans la cellule E55 de la feuille « Informations générales »</v>
      </c>
      <c r="K29" s="981"/>
      <c r="L29" s="981"/>
      <c r="M29" s="981"/>
      <c r="N29" s="981"/>
      <c r="O29" s="981"/>
      <c r="P29" s="981"/>
      <c r="Q29" s="981"/>
      <c r="R29" s="981"/>
      <c r="S29" s="981"/>
      <c r="T29" s="981"/>
      <c r="U29" s="981"/>
      <c r="V29" s="981"/>
    </row>
    <row r="30" spans="3:22" x14ac:dyDescent="0.3">
      <c r="C30" s="947"/>
      <c r="D30" s="948"/>
      <c r="E30" s="978"/>
      <c r="F30" s="978"/>
      <c r="G30" s="978"/>
      <c r="H30" s="979"/>
      <c r="I30" s="15" t="str">
        <f t="shared" si="0"/>
        <v/>
      </c>
      <c r="J30" s="981"/>
      <c r="K30" s="981"/>
      <c r="L30" s="981"/>
      <c r="M30" s="981"/>
      <c r="N30" s="981"/>
      <c r="O30" s="981"/>
      <c r="P30" s="981"/>
      <c r="Q30" s="981"/>
      <c r="R30" s="981"/>
      <c r="S30" s="981"/>
      <c r="T30" s="981"/>
      <c r="U30" s="981"/>
      <c r="V30" s="981"/>
    </row>
    <row r="31" spans="3:22" x14ac:dyDescent="0.3">
      <c r="C31" s="947"/>
      <c r="D31" s="948"/>
      <c r="E31" s="978"/>
      <c r="F31" s="978"/>
      <c r="G31" s="978"/>
      <c r="H31" s="979"/>
      <c r="I31" s="15" t="str">
        <f t="shared" si="0"/>
        <v/>
      </c>
      <c r="J31" s="10" t="str">
        <f>template_label_additional_rows_warning</f>
        <v>ℹ️Les listes peuvent être déroulées à l’aide du bouton plus [+] situé à gauche. Si le nombre de lignes n’est pas suffisant, des lignes supplémentaires peuvent être ajoutées en cliquant avec le bouton droit sur la deuxième ligne et en sélectionnant « Insérer une ligne ».</v>
      </c>
    </row>
    <row r="32" spans="3:22" hidden="1" outlineLevel="1" x14ac:dyDescent="0.3">
      <c r="C32" s="947"/>
      <c r="D32" s="948"/>
      <c r="E32" s="978"/>
      <c r="F32" s="978"/>
      <c r="G32" s="978"/>
      <c r="H32" s="979"/>
      <c r="I32" s="15" t="str">
        <f t="shared" si="0"/>
        <v/>
      </c>
    </row>
    <row r="33" spans="3:9" hidden="1" outlineLevel="1" x14ac:dyDescent="0.3">
      <c r="C33" s="947"/>
      <c r="D33" s="948"/>
      <c r="E33" s="978"/>
      <c r="F33" s="978"/>
      <c r="G33" s="978"/>
      <c r="H33" s="979"/>
      <c r="I33" s="15" t="str">
        <f t="shared" si="0"/>
        <v/>
      </c>
    </row>
    <row r="34" spans="3:9" hidden="1" outlineLevel="1" x14ac:dyDescent="0.3">
      <c r="C34" s="947"/>
      <c r="D34" s="948"/>
      <c r="E34" s="978"/>
      <c r="F34" s="978"/>
      <c r="G34" s="978"/>
      <c r="H34" s="979"/>
      <c r="I34" s="15" t="str">
        <f t="shared" si="0"/>
        <v/>
      </c>
    </row>
    <row r="35" spans="3:9" hidden="1" outlineLevel="1" x14ac:dyDescent="0.3">
      <c r="C35" s="947"/>
      <c r="D35" s="948"/>
      <c r="E35" s="978"/>
      <c r="F35" s="978"/>
      <c r="G35" s="978"/>
      <c r="H35" s="979"/>
      <c r="I35" s="15" t="str">
        <f t="shared" si="0"/>
        <v/>
      </c>
    </row>
    <row r="36" spans="3:9" hidden="1" outlineLevel="1" x14ac:dyDescent="0.3">
      <c r="C36" s="947"/>
      <c r="D36" s="948"/>
      <c r="E36" s="978"/>
      <c r="F36" s="978"/>
      <c r="G36" s="978"/>
      <c r="H36" s="979"/>
      <c r="I36" s="15" t="str">
        <f t="shared" si="0"/>
        <v/>
      </c>
    </row>
    <row r="37" spans="3:9" hidden="1" outlineLevel="1" x14ac:dyDescent="0.3">
      <c r="C37" s="947"/>
      <c r="D37" s="948"/>
      <c r="E37" s="978"/>
      <c r="F37" s="978"/>
      <c r="G37" s="978"/>
      <c r="H37" s="979"/>
      <c r="I37" s="15" t="str">
        <f t="shared" si="0"/>
        <v/>
      </c>
    </row>
    <row r="38" spans="3:9" hidden="1" outlineLevel="1" x14ac:dyDescent="0.3">
      <c r="C38" s="947"/>
      <c r="D38" s="948"/>
      <c r="E38" s="978"/>
      <c r="F38" s="978"/>
      <c r="G38" s="978"/>
      <c r="H38" s="979"/>
      <c r="I38" s="15" t="str">
        <f t="shared" si="0"/>
        <v/>
      </c>
    </row>
    <row r="39" spans="3:9" hidden="1" outlineLevel="1" x14ac:dyDescent="0.3">
      <c r="C39" s="947"/>
      <c r="D39" s="948"/>
      <c r="E39" s="978"/>
      <c r="F39" s="978"/>
      <c r="G39" s="978"/>
      <c r="H39" s="979"/>
      <c r="I39" s="15" t="str">
        <f t="shared" si="0"/>
        <v/>
      </c>
    </row>
    <row r="40" spans="3:9" hidden="1" outlineLevel="1" x14ac:dyDescent="0.3">
      <c r="C40" s="947"/>
      <c r="D40" s="948"/>
      <c r="E40" s="978"/>
      <c r="F40" s="978"/>
      <c r="G40" s="978"/>
      <c r="H40" s="979"/>
      <c r="I40" s="15" t="str">
        <f t="shared" si="0"/>
        <v/>
      </c>
    </row>
    <row r="41" spans="3:9" hidden="1" outlineLevel="1" x14ac:dyDescent="0.3">
      <c r="C41" s="947"/>
      <c r="D41" s="948"/>
      <c r="E41" s="978"/>
      <c r="F41" s="978"/>
      <c r="G41" s="978"/>
      <c r="H41" s="979"/>
      <c r="I41" s="15" t="str">
        <f t="shared" si="0"/>
        <v/>
      </c>
    </row>
    <row r="42" spans="3:9" hidden="1" outlineLevel="1" x14ac:dyDescent="0.3">
      <c r="C42" s="947"/>
      <c r="D42" s="948"/>
      <c r="E42" s="978"/>
      <c r="F42" s="978"/>
      <c r="G42" s="978"/>
      <c r="H42" s="979"/>
      <c r="I42" s="15" t="str">
        <f t="shared" si="0"/>
        <v/>
      </c>
    </row>
    <row r="43" spans="3:9" hidden="1" outlineLevel="1" x14ac:dyDescent="0.3">
      <c r="C43" s="947"/>
      <c r="D43" s="948"/>
      <c r="E43" s="978"/>
      <c r="F43" s="978"/>
      <c r="G43" s="978"/>
      <c r="H43" s="979"/>
      <c r="I43" s="15" t="str">
        <f t="shared" si="0"/>
        <v/>
      </c>
    </row>
    <row r="44" spans="3:9" hidden="1" outlineLevel="1" x14ac:dyDescent="0.3">
      <c r="C44" s="947"/>
      <c r="D44" s="948"/>
      <c r="E44" s="978"/>
      <c r="F44" s="978"/>
      <c r="G44" s="978"/>
      <c r="H44" s="979"/>
      <c r="I44" s="15" t="str">
        <f t="shared" si="0"/>
        <v/>
      </c>
    </row>
    <row r="45" spans="3:9" hidden="1" outlineLevel="1" x14ac:dyDescent="0.3">
      <c r="C45" s="947"/>
      <c r="D45" s="948"/>
      <c r="E45" s="978"/>
      <c r="F45" s="978"/>
      <c r="G45" s="978"/>
      <c r="H45" s="979"/>
      <c r="I45" s="15" t="str">
        <f t="shared" si="0"/>
        <v/>
      </c>
    </row>
    <row r="46" spans="3:9" hidden="1" outlineLevel="1" x14ac:dyDescent="0.3">
      <c r="C46" s="947"/>
      <c r="D46" s="948"/>
      <c r="E46" s="978"/>
      <c r="F46" s="978"/>
      <c r="G46" s="978"/>
      <c r="H46" s="979"/>
      <c r="I46" s="15" t="str">
        <f t="shared" si="0"/>
        <v/>
      </c>
    </row>
    <row r="47" spans="3:9" hidden="1" outlineLevel="1" x14ac:dyDescent="0.3">
      <c r="C47" s="947"/>
      <c r="D47" s="948"/>
      <c r="E47" s="978"/>
      <c r="F47" s="978"/>
      <c r="G47" s="978"/>
      <c r="H47" s="979"/>
      <c r="I47" s="15" t="str">
        <f t="shared" si="0"/>
        <v/>
      </c>
    </row>
    <row r="48" spans="3:9" hidden="1" outlineLevel="1" x14ac:dyDescent="0.3">
      <c r="C48" s="947"/>
      <c r="D48" s="948"/>
      <c r="E48" s="978"/>
      <c r="F48" s="978"/>
      <c r="G48" s="978"/>
      <c r="H48" s="979"/>
      <c r="I48" s="15" t="str">
        <f t="shared" si="0"/>
        <v/>
      </c>
    </row>
    <row r="49" spans="3:9" hidden="1" outlineLevel="1" x14ac:dyDescent="0.3">
      <c r="C49" s="947"/>
      <c r="D49" s="948"/>
      <c r="E49" s="978"/>
      <c r="F49" s="978"/>
      <c r="G49" s="978"/>
      <c r="H49" s="979"/>
      <c r="I49" s="15" t="str">
        <f t="shared" si="0"/>
        <v/>
      </c>
    </row>
    <row r="50" spans="3:9" hidden="1" outlineLevel="1" x14ac:dyDescent="0.3">
      <c r="C50" s="947"/>
      <c r="D50" s="948"/>
      <c r="E50" s="978"/>
      <c r="F50" s="978"/>
      <c r="G50" s="978"/>
      <c r="H50" s="979"/>
      <c r="I50" s="15" t="str">
        <f t="shared" si="0"/>
        <v/>
      </c>
    </row>
    <row r="51" spans="3:9" hidden="1" outlineLevel="1" x14ac:dyDescent="0.3">
      <c r="C51" s="947"/>
      <c r="D51" s="948"/>
      <c r="E51" s="978"/>
      <c r="F51" s="978"/>
      <c r="G51" s="978"/>
      <c r="H51" s="979"/>
      <c r="I51" s="15" t="str">
        <f t="shared" si="0"/>
        <v/>
      </c>
    </row>
    <row r="52" spans="3:9" hidden="1" outlineLevel="1" x14ac:dyDescent="0.3">
      <c r="C52" s="947"/>
      <c r="D52" s="948"/>
      <c r="E52" s="978"/>
      <c r="F52" s="978"/>
      <c r="G52" s="978"/>
      <c r="H52" s="979"/>
      <c r="I52" s="15" t="str">
        <f t="shared" si="0"/>
        <v/>
      </c>
    </row>
    <row r="53" spans="3:9" hidden="1" outlineLevel="1" x14ac:dyDescent="0.3">
      <c r="C53" s="947"/>
      <c r="D53" s="948"/>
      <c r="E53" s="978"/>
      <c r="F53" s="978"/>
      <c r="G53" s="978"/>
      <c r="H53" s="979"/>
      <c r="I53" s="15" t="str">
        <f t="shared" si="0"/>
        <v/>
      </c>
    </row>
    <row r="54" spans="3:9" hidden="1" outlineLevel="1" x14ac:dyDescent="0.3">
      <c r="C54" s="947"/>
      <c r="D54" s="948"/>
      <c r="E54" s="978"/>
      <c r="F54" s="978"/>
      <c r="G54" s="978"/>
      <c r="H54" s="979"/>
      <c r="I54" s="15" t="str">
        <f t="shared" si="0"/>
        <v/>
      </c>
    </row>
    <row r="55" spans="3:9" hidden="1" outlineLevel="1" x14ac:dyDescent="0.3">
      <c r="C55" s="947"/>
      <c r="D55" s="948"/>
      <c r="E55" s="978"/>
      <c r="F55" s="978"/>
      <c r="G55" s="978"/>
      <c r="H55" s="979"/>
      <c r="I55" s="15" t="str">
        <f t="shared" si="0"/>
        <v/>
      </c>
    </row>
    <row r="56" spans="3:9" hidden="1" outlineLevel="1" x14ac:dyDescent="0.3">
      <c r="C56" s="947"/>
      <c r="D56" s="948"/>
      <c r="E56" s="978"/>
      <c r="F56" s="978"/>
      <c r="G56" s="978"/>
      <c r="H56" s="979"/>
      <c r="I56" s="15" t="str">
        <f t="shared" si="0"/>
        <v/>
      </c>
    </row>
    <row r="57" spans="3:9" hidden="1" outlineLevel="1" x14ac:dyDescent="0.3">
      <c r="C57" s="947"/>
      <c r="D57" s="948"/>
      <c r="E57" s="978"/>
      <c r="F57" s="978"/>
      <c r="G57" s="978"/>
      <c r="H57" s="979"/>
      <c r="I57" s="15" t="str">
        <f t="shared" si="0"/>
        <v/>
      </c>
    </row>
    <row r="58" spans="3:9" hidden="1" outlineLevel="1" x14ac:dyDescent="0.3">
      <c r="C58" s="947"/>
      <c r="D58" s="948"/>
      <c r="E58" s="978"/>
      <c r="F58" s="978"/>
      <c r="G58" s="978"/>
      <c r="H58" s="979"/>
      <c r="I58" s="15" t="str">
        <f t="shared" si="0"/>
        <v/>
      </c>
    </row>
    <row r="59" spans="3:9" hidden="1" outlineLevel="1" x14ac:dyDescent="0.3">
      <c r="C59" s="947"/>
      <c r="D59" s="948"/>
      <c r="E59" s="978"/>
      <c r="F59" s="978"/>
      <c r="G59" s="978"/>
      <c r="H59" s="979"/>
      <c r="I59" s="15" t="str">
        <f t="shared" si="0"/>
        <v/>
      </c>
    </row>
    <row r="60" spans="3:9" hidden="1" outlineLevel="1" x14ac:dyDescent="0.3">
      <c r="C60" s="947"/>
      <c r="D60" s="948"/>
      <c r="E60" s="978"/>
      <c r="F60" s="978"/>
      <c r="G60" s="978"/>
      <c r="H60" s="979"/>
      <c r="I60" s="15" t="str">
        <f t="shared" si="0"/>
        <v/>
      </c>
    </row>
    <row r="61" spans="3:9" hidden="1" outlineLevel="1" x14ac:dyDescent="0.3">
      <c r="C61" s="947"/>
      <c r="D61" s="948"/>
      <c r="E61" s="978"/>
      <c r="F61" s="978"/>
      <c r="G61" s="978"/>
      <c r="H61" s="979"/>
      <c r="I61" s="15" t="str">
        <f t="shared" ref="I61:I92" si="1">IF(
    AND(C61="", E61=""),
    "",
    IF(
        AND(C61&lt;&gt;"", E61=""),
        template_label_missing_value,
        IF(
            AND(C61&lt;&gt;"", E61&lt;&gt;""),
            IF(
                SUM($E$29:$E$128)&lt;$E$129,
                template_label_missing_value,
                IF(
                    COUNTIF($C$29:$C$128, C61) &gt; 1,
                    template_label_value_inconsistency,
                    template_label_ok
                )
            ),
            template_label_missing_value
        )
    )
)</f>
        <v/>
      </c>
    </row>
    <row r="62" spans="3:9" hidden="1" outlineLevel="1" x14ac:dyDescent="0.3">
      <c r="C62" s="947"/>
      <c r="D62" s="948"/>
      <c r="E62" s="978"/>
      <c r="F62" s="978"/>
      <c r="G62" s="978"/>
      <c r="H62" s="979"/>
      <c r="I62" s="15" t="str">
        <f t="shared" si="1"/>
        <v/>
      </c>
    </row>
    <row r="63" spans="3:9" hidden="1" outlineLevel="1" x14ac:dyDescent="0.3">
      <c r="C63" s="947"/>
      <c r="D63" s="948"/>
      <c r="E63" s="978"/>
      <c r="F63" s="978"/>
      <c r="G63" s="978"/>
      <c r="H63" s="979"/>
      <c r="I63" s="15" t="str">
        <f t="shared" si="1"/>
        <v/>
      </c>
    </row>
    <row r="64" spans="3:9" hidden="1" outlineLevel="1" x14ac:dyDescent="0.3">
      <c r="C64" s="947"/>
      <c r="D64" s="948"/>
      <c r="E64" s="978"/>
      <c r="F64" s="978"/>
      <c r="G64" s="978"/>
      <c r="H64" s="979"/>
      <c r="I64" s="15" t="str">
        <f t="shared" si="1"/>
        <v/>
      </c>
    </row>
    <row r="65" spans="3:9" hidden="1" outlineLevel="1" x14ac:dyDescent="0.3">
      <c r="C65" s="947"/>
      <c r="D65" s="948"/>
      <c r="E65" s="978"/>
      <c r="F65" s="978"/>
      <c r="G65" s="978"/>
      <c r="H65" s="979"/>
      <c r="I65" s="15" t="str">
        <f t="shared" si="1"/>
        <v/>
      </c>
    </row>
    <row r="66" spans="3:9" hidden="1" outlineLevel="1" x14ac:dyDescent="0.3">
      <c r="C66" s="947"/>
      <c r="D66" s="948"/>
      <c r="E66" s="978"/>
      <c r="F66" s="978"/>
      <c r="G66" s="978"/>
      <c r="H66" s="979"/>
      <c r="I66" s="15" t="str">
        <f t="shared" si="1"/>
        <v/>
      </c>
    </row>
    <row r="67" spans="3:9" hidden="1" outlineLevel="1" x14ac:dyDescent="0.3">
      <c r="C67" s="947"/>
      <c r="D67" s="948"/>
      <c r="E67" s="978"/>
      <c r="F67" s="978"/>
      <c r="G67" s="978"/>
      <c r="H67" s="979"/>
      <c r="I67" s="15" t="str">
        <f t="shared" si="1"/>
        <v/>
      </c>
    </row>
    <row r="68" spans="3:9" hidden="1" outlineLevel="1" x14ac:dyDescent="0.3">
      <c r="C68" s="947"/>
      <c r="D68" s="948"/>
      <c r="E68" s="978"/>
      <c r="F68" s="978"/>
      <c r="G68" s="978"/>
      <c r="H68" s="979"/>
      <c r="I68" s="15" t="str">
        <f t="shared" si="1"/>
        <v/>
      </c>
    </row>
    <row r="69" spans="3:9" hidden="1" outlineLevel="1" x14ac:dyDescent="0.3">
      <c r="C69" s="947"/>
      <c r="D69" s="948"/>
      <c r="E69" s="978"/>
      <c r="F69" s="978"/>
      <c r="G69" s="978"/>
      <c r="H69" s="979"/>
      <c r="I69" s="15" t="str">
        <f t="shared" si="1"/>
        <v/>
      </c>
    </row>
    <row r="70" spans="3:9" hidden="1" outlineLevel="1" x14ac:dyDescent="0.3">
      <c r="C70" s="947"/>
      <c r="D70" s="948"/>
      <c r="E70" s="978"/>
      <c r="F70" s="978"/>
      <c r="G70" s="978"/>
      <c r="H70" s="979"/>
      <c r="I70" s="15" t="str">
        <f t="shared" si="1"/>
        <v/>
      </c>
    </row>
    <row r="71" spans="3:9" hidden="1" outlineLevel="1" x14ac:dyDescent="0.3">
      <c r="C71" s="947"/>
      <c r="D71" s="948"/>
      <c r="E71" s="978"/>
      <c r="F71" s="978"/>
      <c r="G71" s="978"/>
      <c r="H71" s="979"/>
      <c r="I71" s="15" t="str">
        <f t="shared" si="1"/>
        <v/>
      </c>
    </row>
    <row r="72" spans="3:9" hidden="1" outlineLevel="1" x14ac:dyDescent="0.3">
      <c r="C72" s="947"/>
      <c r="D72" s="948"/>
      <c r="E72" s="978"/>
      <c r="F72" s="978"/>
      <c r="G72" s="978"/>
      <c r="H72" s="979"/>
      <c r="I72" s="15" t="str">
        <f t="shared" si="1"/>
        <v/>
      </c>
    </row>
    <row r="73" spans="3:9" hidden="1" outlineLevel="1" x14ac:dyDescent="0.3">
      <c r="C73" s="947"/>
      <c r="D73" s="948"/>
      <c r="E73" s="978"/>
      <c r="F73" s="978"/>
      <c r="G73" s="978"/>
      <c r="H73" s="979"/>
      <c r="I73" s="15" t="str">
        <f t="shared" si="1"/>
        <v/>
      </c>
    </row>
    <row r="74" spans="3:9" hidden="1" outlineLevel="1" x14ac:dyDescent="0.3">
      <c r="C74" s="947"/>
      <c r="D74" s="948"/>
      <c r="E74" s="978"/>
      <c r="F74" s="978"/>
      <c r="G74" s="978"/>
      <c r="H74" s="979"/>
      <c r="I74" s="15" t="str">
        <f t="shared" si="1"/>
        <v/>
      </c>
    </row>
    <row r="75" spans="3:9" hidden="1" outlineLevel="1" x14ac:dyDescent="0.3">
      <c r="C75" s="947"/>
      <c r="D75" s="948"/>
      <c r="E75" s="978"/>
      <c r="F75" s="978"/>
      <c r="G75" s="978"/>
      <c r="H75" s="979"/>
      <c r="I75" s="15" t="str">
        <f t="shared" si="1"/>
        <v/>
      </c>
    </row>
    <row r="76" spans="3:9" hidden="1" outlineLevel="1" x14ac:dyDescent="0.3">
      <c r="C76" s="947"/>
      <c r="D76" s="948"/>
      <c r="E76" s="978"/>
      <c r="F76" s="978"/>
      <c r="G76" s="978"/>
      <c r="H76" s="979"/>
      <c r="I76" s="15" t="str">
        <f t="shared" si="1"/>
        <v/>
      </c>
    </row>
    <row r="77" spans="3:9" hidden="1" outlineLevel="1" x14ac:dyDescent="0.3">
      <c r="C77" s="947"/>
      <c r="D77" s="948"/>
      <c r="E77" s="978"/>
      <c r="F77" s="978"/>
      <c r="G77" s="978"/>
      <c r="H77" s="979"/>
      <c r="I77" s="15" t="str">
        <f t="shared" si="1"/>
        <v/>
      </c>
    </row>
    <row r="78" spans="3:9" hidden="1" outlineLevel="1" x14ac:dyDescent="0.3">
      <c r="C78" s="947"/>
      <c r="D78" s="948"/>
      <c r="E78" s="978"/>
      <c r="F78" s="978"/>
      <c r="G78" s="978"/>
      <c r="H78" s="979"/>
      <c r="I78" s="15" t="str">
        <f t="shared" si="1"/>
        <v/>
      </c>
    </row>
    <row r="79" spans="3:9" hidden="1" outlineLevel="1" x14ac:dyDescent="0.3">
      <c r="C79" s="947"/>
      <c r="D79" s="948"/>
      <c r="E79" s="978"/>
      <c r="F79" s="978"/>
      <c r="G79" s="978"/>
      <c r="H79" s="979"/>
      <c r="I79" s="15" t="str">
        <f t="shared" si="1"/>
        <v/>
      </c>
    </row>
    <row r="80" spans="3:9" hidden="1" outlineLevel="1" x14ac:dyDescent="0.3">
      <c r="C80" s="947"/>
      <c r="D80" s="948"/>
      <c r="E80" s="978"/>
      <c r="F80" s="978"/>
      <c r="G80" s="978"/>
      <c r="H80" s="979"/>
      <c r="I80" s="15" t="str">
        <f t="shared" si="1"/>
        <v/>
      </c>
    </row>
    <row r="81" spans="3:9" hidden="1" outlineLevel="1" x14ac:dyDescent="0.3">
      <c r="C81" s="947"/>
      <c r="D81" s="948"/>
      <c r="E81" s="978"/>
      <c r="F81" s="978"/>
      <c r="G81" s="978"/>
      <c r="H81" s="979"/>
      <c r="I81" s="15" t="str">
        <f t="shared" si="1"/>
        <v/>
      </c>
    </row>
    <row r="82" spans="3:9" hidden="1" outlineLevel="1" x14ac:dyDescent="0.3">
      <c r="C82" s="947"/>
      <c r="D82" s="948"/>
      <c r="E82" s="978"/>
      <c r="F82" s="978"/>
      <c r="G82" s="978"/>
      <c r="H82" s="979"/>
      <c r="I82" s="15" t="str">
        <f t="shared" si="1"/>
        <v/>
      </c>
    </row>
    <row r="83" spans="3:9" hidden="1" outlineLevel="1" x14ac:dyDescent="0.3">
      <c r="C83" s="947"/>
      <c r="D83" s="948"/>
      <c r="E83" s="978"/>
      <c r="F83" s="978"/>
      <c r="G83" s="978"/>
      <c r="H83" s="979"/>
      <c r="I83" s="15" t="str">
        <f t="shared" si="1"/>
        <v/>
      </c>
    </row>
    <row r="84" spans="3:9" hidden="1" outlineLevel="1" x14ac:dyDescent="0.3">
      <c r="C84" s="947"/>
      <c r="D84" s="948"/>
      <c r="E84" s="978"/>
      <c r="F84" s="978"/>
      <c r="G84" s="978"/>
      <c r="H84" s="979"/>
      <c r="I84" s="15" t="str">
        <f t="shared" si="1"/>
        <v/>
      </c>
    </row>
    <row r="85" spans="3:9" hidden="1" outlineLevel="1" x14ac:dyDescent="0.3">
      <c r="C85" s="947"/>
      <c r="D85" s="948"/>
      <c r="E85" s="978"/>
      <c r="F85" s="978"/>
      <c r="G85" s="978"/>
      <c r="H85" s="979"/>
      <c r="I85" s="15" t="str">
        <f t="shared" si="1"/>
        <v/>
      </c>
    </row>
    <row r="86" spans="3:9" hidden="1" outlineLevel="1" x14ac:dyDescent="0.3">
      <c r="C86" s="947"/>
      <c r="D86" s="948"/>
      <c r="E86" s="978"/>
      <c r="F86" s="978"/>
      <c r="G86" s="978"/>
      <c r="H86" s="979"/>
      <c r="I86" s="15" t="str">
        <f t="shared" si="1"/>
        <v/>
      </c>
    </row>
    <row r="87" spans="3:9" hidden="1" outlineLevel="1" x14ac:dyDescent="0.3">
      <c r="C87" s="947"/>
      <c r="D87" s="948"/>
      <c r="E87" s="978"/>
      <c r="F87" s="978"/>
      <c r="G87" s="978"/>
      <c r="H87" s="979"/>
      <c r="I87" s="15" t="str">
        <f t="shared" si="1"/>
        <v/>
      </c>
    </row>
    <row r="88" spans="3:9" hidden="1" outlineLevel="1" x14ac:dyDescent="0.3">
      <c r="C88" s="947"/>
      <c r="D88" s="948"/>
      <c r="E88" s="978"/>
      <c r="F88" s="978"/>
      <c r="G88" s="978"/>
      <c r="H88" s="979"/>
      <c r="I88" s="15" t="str">
        <f t="shared" si="1"/>
        <v/>
      </c>
    </row>
    <row r="89" spans="3:9" hidden="1" outlineLevel="1" x14ac:dyDescent="0.3">
      <c r="C89" s="947"/>
      <c r="D89" s="948"/>
      <c r="E89" s="978"/>
      <c r="F89" s="978"/>
      <c r="G89" s="978"/>
      <c r="H89" s="979"/>
      <c r="I89" s="15" t="str">
        <f t="shared" si="1"/>
        <v/>
      </c>
    </row>
    <row r="90" spans="3:9" hidden="1" outlineLevel="1" x14ac:dyDescent="0.3">
      <c r="C90" s="947"/>
      <c r="D90" s="948"/>
      <c r="E90" s="978"/>
      <c r="F90" s="978"/>
      <c r="G90" s="978"/>
      <c r="H90" s="979"/>
      <c r="I90" s="15" t="str">
        <f t="shared" si="1"/>
        <v/>
      </c>
    </row>
    <row r="91" spans="3:9" hidden="1" outlineLevel="1" x14ac:dyDescent="0.3">
      <c r="C91" s="947"/>
      <c r="D91" s="948"/>
      <c r="E91" s="978"/>
      <c r="F91" s="978"/>
      <c r="G91" s="978"/>
      <c r="H91" s="979"/>
      <c r="I91" s="15" t="str">
        <f t="shared" si="1"/>
        <v/>
      </c>
    </row>
    <row r="92" spans="3:9" hidden="1" outlineLevel="1" x14ac:dyDescent="0.3">
      <c r="C92" s="947"/>
      <c r="D92" s="948"/>
      <c r="E92" s="978"/>
      <c r="F92" s="978"/>
      <c r="G92" s="978"/>
      <c r="H92" s="979"/>
      <c r="I92" s="15" t="str">
        <f t="shared" si="1"/>
        <v/>
      </c>
    </row>
    <row r="93" spans="3:9" hidden="1" outlineLevel="1" x14ac:dyDescent="0.3">
      <c r="C93" s="947"/>
      <c r="D93" s="948"/>
      <c r="E93" s="978"/>
      <c r="F93" s="978"/>
      <c r="G93" s="978"/>
      <c r="H93" s="979"/>
      <c r="I93" s="15" t="str">
        <f t="shared" ref="I93:I128" si="2">IF(
    AND(C93="", E93=""),
    "",
    IF(
        AND(C93&lt;&gt;"", E93=""),
        template_label_missing_value,
        IF(
            AND(C93&lt;&gt;"", E93&lt;&gt;""),
            IF(
                SUM($E$29:$E$128)&lt;$E$129,
                template_label_missing_value,
                IF(
                    COUNTIF($C$29:$C$128, C93) &gt; 1,
                    template_label_value_inconsistency,
                    template_label_ok
                )
            ),
            template_label_missing_value
        )
    )
)</f>
        <v/>
      </c>
    </row>
    <row r="94" spans="3:9" hidden="1" outlineLevel="1" x14ac:dyDescent="0.3">
      <c r="C94" s="947"/>
      <c r="D94" s="948"/>
      <c r="E94" s="978"/>
      <c r="F94" s="978"/>
      <c r="G94" s="978"/>
      <c r="H94" s="979"/>
      <c r="I94" s="15" t="str">
        <f t="shared" si="2"/>
        <v/>
      </c>
    </row>
    <row r="95" spans="3:9" hidden="1" outlineLevel="1" x14ac:dyDescent="0.3">
      <c r="C95" s="947"/>
      <c r="D95" s="948"/>
      <c r="E95" s="978"/>
      <c r="F95" s="978"/>
      <c r="G95" s="978"/>
      <c r="H95" s="979"/>
      <c r="I95" s="15" t="str">
        <f t="shared" si="2"/>
        <v/>
      </c>
    </row>
    <row r="96" spans="3:9" hidden="1" outlineLevel="1" x14ac:dyDescent="0.3">
      <c r="C96" s="947"/>
      <c r="D96" s="948"/>
      <c r="E96" s="978"/>
      <c r="F96" s="978"/>
      <c r="G96" s="978"/>
      <c r="H96" s="979"/>
      <c r="I96" s="15" t="str">
        <f t="shared" si="2"/>
        <v/>
      </c>
    </row>
    <row r="97" spans="3:9" hidden="1" outlineLevel="1" x14ac:dyDescent="0.3">
      <c r="C97" s="947"/>
      <c r="D97" s="948"/>
      <c r="E97" s="978"/>
      <c r="F97" s="978"/>
      <c r="G97" s="978"/>
      <c r="H97" s="979"/>
      <c r="I97" s="15" t="str">
        <f t="shared" si="2"/>
        <v/>
      </c>
    </row>
    <row r="98" spans="3:9" hidden="1" outlineLevel="1" x14ac:dyDescent="0.3">
      <c r="C98" s="947"/>
      <c r="D98" s="948"/>
      <c r="E98" s="978"/>
      <c r="F98" s="978"/>
      <c r="G98" s="978"/>
      <c r="H98" s="979"/>
      <c r="I98" s="15" t="str">
        <f t="shared" si="2"/>
        <v/>
      </c>
    </row>
    <row r="99" spans="3:9" hidden="1" outlineLevel="1" x14ac:dyDescent="0.3">
      <c r="C99" s="947"/>
      <c r="D99" s="948"/>
      <c r="E99" s="978"/>
      <c r="F99" s="978"/>
      <c r="G99" s="978"/>
      <c r="H99" s="979"/>
      <c r="I99" s="15" t="str">
        <f t="shared" si="2"/>
        <v/>
      </c>
    </row>
    <row r="100" spans="3:9" hidden="1" outlineLevel="1" x14ac:dyDescent="0.3">
      <c r="C100" s="947"/>
      <c r="D100" s="948"/>
      <c r="E100" s="978"/>
      <c r="F100" s="978"/>
      <c r="G100" s="978"/>
      <c r="H100" s="979"/>
      <c r="I100" s="15" t="str">
        <f t="shared" si="2"/>
        <v/>
      </c>
    </row>
    <row r="101" spans="3:9" hidden="1" outlineLevel="1" x14ac:dyDescent="0.3">
      <c r="C101" s="947"/>
      <c r="D101" s="948"/>
      <c r="E101" s="978"/>
      <c r="F101" s="978"/>
      <c r="G101" s="978"/>
      <c r="H101" s="979"/>
      <c r="I101" s="15" t="str">
        <f t="shared" si="2"/>
        <v/>
      </c>
    </row>
    <row r="102" spans="3:9" hidden="1" outlineLevel="1" x14ac:dyDescent="0.3">
      <c r="C102" s="947"/>
      <c r="D102" s="948"/>
      <c r="E102" s="978"/>
      <c r="F102" s="978"/>
      <c r="G102" s="978"/>
      <c r="H102" s="979"/>
      <c r="I102" s="15" t="str">
        <f t="shared" si="2"/>
        <v/>
      </c>
    </row>
    <row r="103" spans="3:9" hidden="1" outlineLevel="1" x14ac:dyDescent="0.3">
      <c r="C103" s="947"/>
      <c r="D103" s="948"/>
      <c r="E103" s="978"/>
      <c r="F103" s="978"/>
      <c r="G103" s="978"/>
      <c r="H103" s="979"/>
      <c r="I103" s="15" t="str">
        <f t="shared" si="2"/>
        <v/>
      </c>
    </row>
    <row r="104" spans="3:9" hidden="1" outlineLevel="1" x14ac:dyDescent="0.3">
      <c r="C104" s="947"/>
      <c r="D104" s="948"/>
      <c r="E104" s="978"/>
      <c r="F104" s="978"/>
      <c r="G104" s="978"/>
      <c r="H104" s="979"/>
      <c r="I104" s="15" t="str">
        <f t="shared" si="2"/>
        <v/>
      </c>
    </row>
    <row r="105" spans="3:9" hidden="1" outlineLevel="1" x14ac:dyDescent="0.3">
      <c r="C105" s="947"/>
      <c r="D105" s="948"/>
      <c r="E105" s="978"/>
      <c r="F105" s="978"/>
      <c r="G105" s="978"/>
      <c r="H105" s="979"/>
      <c r="I105" s="15" t="str">
        <f t="shared" si="2"/>
        <v/>
      </c>
    </row>
    <row r="106" spans="3:9" hidden="1" outlineLevel="1" x14ac:dyDescent="0.3">
      <c r="C106" s="947"/>
      <c r="D106" s="948"/>
      <c r="E106" s="978"/>
      <c r="F106" s="978"/>
      <c r="G106" s="978"/>
      <c r="H106" s="979"/>
      <c r="I106" s="15" t="str">
        <f t="shared" si="2"/>
        <v/>
      </c>
    </row>
    <row r="107" spans="3:9" hidden="1" outlineLevel="1" x14ac:dyDescent="0.3">
      <c r="C107" s="947"/>
      <c r="D107" s="948"/>
      <c r="E107" s="978"/>
      <c r="F107" s="978"/>
      <c r="G107" s="978"/>
      <c r="H107" s="979"/>
      <c r="I107" s="15" t="str">
        <f t="shared" si="2"/>
        <v/>
      </c>
    </row>
    <row r="108" spans="3:9" hidden="1" outlineLevel="1" x14ac:dyDescent="0.3">
      <c r="C108" s="947"/>
      <c r="D108" s="948"/>
      <c r="E108" s="978"/>
      <c r="F108" s="978"/>
      <c r="G108" s="978"/>
      <c r="H108" s="979"/>
      <c r="I108" s="15" t="str">
        <f t="shared" si="2"/>
        <v/>
      </c>
    </row>
    <row r="109" spans="3:9" hidden="1" outlineLevel="1" x14ac:dyDescent="0.3">
      <c r="C109" s="947"/>
      <c r="D109" s="948"/>
      <c r="E109" s="978"/>
      <c r="F109" s="978"/>
      <c r="G109" s="978"/>
      <c r="H109" s="979"/>
      <c r="I109" s="15" t="str">
        <f t="shared" si="2"/>
        <v/>
      </c>
    </row>
    <row r="110" spans="3:9" hidden="1" outlineLevel="1" x14ac:dyDescent="0.3">
      <c r="C110" s="947"/>
      <c r="D110" s="948"/>
      <c r="E110" s="978"/>
      <c r="F110" s="978"/>
      <c r="G110" s="978"/>
      <c r="H110" s="979"/>
      <c r="I110" s="15" t="str">
        <f t="shared" si="2"/>
        <v/>
      </c>
    </row>
    <row r="111" spans="3:9" hidden="1" outlineLevel="1" x14ac:dyDescent="0.3">
      <c r="C111" s="947"/>
      <c r="D111" s="948"/>
      <c r="E111" s="978"/>
      <c r="F111" s="978"/>
      <c r="G111" s="978"/>
      <c r="H111" s="979"/>
      <c r="I111" s="15" t="str">
        <f t="shared" si="2"/>
        <v/>
      </c>
    </row>
    <row r="112" spans="3:9" hidden="1" outlineLevel="1" x14ac:dyDescent="0.3">
      <c r="C112" s="947"/>
      <c r="D112" s="948"/>
      <c r="E112" s="978"/>
      <c r="F112" s="978"/>
      <c r="G112" s="978"/>
      <c r="H112" s="979"/>
      <c r="I112" s="15" t="str">
        <f t="shared" si="2"/>
        <v/>
      </c>
    </row>
    <row r="113" spans="3:9" hidden="1" outlineLevel="1" x14ac:dyDescent="0.3">
      <c r="C113" s="947"/>
      <c r="D113" s="948"/>
      <c r="E113" s="978"/>
      <c r="F113" s="978"/>
      <c r="G113" s="978"/>
      <c r="H113" s="979"/>
      <c r="I113" s="15" t="str">
        <f t="shared" si="2"/>
        <v/>
      </c>
    </row>
    <row r="114" spans="3:9" hidden="1" outlineLevel="1" x14ac:dyDescent="0.3">
      <c r="C114" s="947"/>
      <c r="D114" s="948"/>
      <c r="E114" s="978"/>
      <c r="F114" s="978"/>
      <c r="G114" s="978"/>
      <c r="H114" s="979"/>
      <c r="I114" s="15" t="str">
        <f t="shared" si="2"/>
        <v/>
      </c>
    </row>
    <row r="115" spans="3:9" hidden="1" outlineLevel="1" x14ac:dyDescent="0.3">
      <c r="C115" s="947"/>
      <c r="D115" s="948"/>
      <c r="E115" s="978"/>
      <c r="F115" s="978"/>
      <c r="G115" s="978"/>
      <c r="H115" s="979"/>
      <c r="I115" s="15" t="str">
        <f t="shared" si="2"/>
        <v/>
      </c>
    </row>
    <row r="116" spans="3:9" hidden="1" outlineLevel="1" x14ac:dyDescent="0.3">
      <c r="C116" s="947"/>
      <c r="D116" s="948"/>
      <c r="E116" s="978"/>
      <c r="F116" s="978"/>
      <c r="G116" s="978"/>
      <c r="H116" s="979"/>
      <c r="I116" s="15" t="str">
        <f t="shared" si="2"/>
        <v/>
      </c>
    </row>
    <row r="117" spans="3:9" hidden="1" outlineLevel="1" x14ac:dyDescent="0.3">
      <c r="C117" s="947"/>
      <c r="D117" s="948"/>
      <c r="E117" s="978"/>
      <c r="F117" s="978"/>
      <c r="G117" s="978"/>
      <c r="H117" s="979"/>
      <c r="I117" s="15" t="str">
        <f t="shared" si="2"/>
        <v/>
      </c>
    </row>
    <row r="118" spans="3:9" hidden="1" outlineLevel="1" x14ac:dyDescent="0.3">
      <c r="C118" s="947"/>
      <c r="D118" s="948"/>
      <c r="E118" s="978"/>
      <c r="F118" s="978"/>
      <c r="G118" s="978"/>
      <c r="H118" s="979"/>
      <c r="I118" s="15" t="str">
        <f t="shared" si="2"/>
        <v/>
      </c>
    </row>
    <row r="119" spans="3:9" hidden="1" outlineLevel="1" x14ac:dyDescent="0.3">
      <c r="C119" s="947"/>
      <c r="D119" s="948"/>
      <c r="E119" s="978"/>
      <c r="F119" s="978"/>
      <c r="G119" s="978"/>
      <c r="H119" s="979"/>
      <c r="I119" s="15" t="str">
        <f t="shared" si="2"/>
        <v/>
      </c>
    </row>
    <row r="120" spans="3:9" hidden="1" outlineLevel="1" x14ac:dyDescent="0.3">
      <c r="C120" s="947"/>
      <c r="D120" s="948"/>
      <c r="E120" s="978"/>
      <c r="F120" s="978"/>
      <c r="G120" s="978"/>
      <c r="H120" s="979"/>
      <c r="I120" s="15" t="str">
        <f t="shared" si="2"/>
        <v/>
      </c>
    </row>
    <row r="121" spans="3:9" hidden="1" outlineLevel="1" x14ac:dyDescent="0.3">
      <c r="C121" s="947"/>
      <c r="D121" s="948"/>
      <c r="E121" s="978"/>
      <c r="F121" s="978"/>
      <c r="G121" s="978"/>
      <c r="H121" s="979"/>
      <c r="I121" s="15" t="str">
        <f t="shared" si="2"/>
        <v/>
      </c>
    </row>
    <row r="122" spans="3:9" hidden="1" outlineLevel="1" x14ac:dyDescent="0.3">
      <c r="C122" s="947"/>
      <c r="D122" s="948"/>
      <c r="E122" s="978"/>
      <c r="F122" s="978"/>
      <c r="G122" s="978"/>
      <c r="H122" s="979"/>
      <c r="I122" s="15" t="str">
        <f t="shared" si="2"/>
        <v/>
      </c>
    </row>
    <row r="123" spans="3:9" hidden="1" outlineLevel="1" x14ac:dyDescent="0.3">
      <c r="C123" s="947"/>
      <c r="D123" s="948"/>
      <c r="E123" s="978"/>
      <c r="F123" s="978"/>
      <c r="G123" s="978"/>
      <c r="H123" s="979"/>
      <c r="I123" s="15" t="str">
        <f t="shared" si="2"/>
        <v/>
      </c>
    </row>
    <row r="124" spans="3:9" hidden="1" outlineLevel="1" x14ac:dyDescent="0.3">
      <c r="C124" s="947"/>
      <c r="D124" s="948"/>
      <c r="E124" s="978"/>
      <c r="F124" s="978"/>
      <c r="G124" s="978"/>
      <c r="H124" s="979"/>
      <c r="I124" s="15" t="str">
        <f t="shared" si="2"/>
        <v/>
      </c>
    </row>
    <row r="125" spans="3:9" hidden="1" outlineLevel="1" x14ac:dyDescent="0.3">
      <c r="C125" s="947"/>
      <c r="D125" s="948"/>
      <c r="E125" s="978"/>
      <c r="F125" s="978"/>
      <c r="G125" s="978"/>
      <c r="H125" s="979"/>
      <c r="I125" s="15" t="str">
        <f t="shared" si="2"/>
        <v/>
      </c>
    </row>
    <row r="126" spans="3:9" hidden="1" outlineLevel="1" x14ac:dyDescent="0.3">
      <c r="C126" s="947"/>
      <c r="D126" s="948"/>
      <c r="E126" s="978"/>
      <c r="F126" s="978"/>
      <c r="G126" s="978"/>
      <c r="H126" s="979"/>
      <c r="I126" s="15" t="str">
        <f t="shared" si="2"/>
        <v/>
      </c>
    </row>
    <row r="127" spans="3:9" hidden="1" outlineLevel="1" x14ac:dyDescent="0.3">
      <c r="C127" s="947"/>
      <c r="D127" s="948"/>
      <c r="E127" s="978"/>
      <c r="F127" s="978"/>
      <c r="G127" s="978"/>
      <c r="H127" s="979"/>
      <c r="I127" s="15" t="str">
        <f t="shared" si="2"/>
        <v/>
      </c>
    </row>
    <row r="128" spans="3:9" hidden="1" outlineLevel="1" x14ac:dyDescent="0.3">
      <c r="C128" s="947"/>
      <c r="D128" s="948"/>
      <c r="E128" s="978"/>
      <c r="F128" s="978"/>
      <c r="G128" s="978"/>
      <c r="H128" s="979"/>
      <c r="I128" s="15" t="str">
        <f t="shared" si="2"/>
        <v/>
      </c>
    </row>
    <row r="129" spans="1:10" ht="15" collapsed="1" thickBot="1" x14ac:dyDescent="0.35">
      <c r="C129" s="998" t="str">
        <f>template_label_total_employees</f>
        <v>Nombre total de salariés (lié à B1)</v>
      </c>
      <c r="D129" s="999"/>
      <c r="E129" s="990" t="str">
        <f>IF('General Information'!$E$284="","-",'General Information'!$E$284)</f>
        <v>-</v>
      </c>
      <c r="F129" s="990"/>
      <c r="G129" s="990"/>
      <c r="H129" s="991"/>
      <c r="I129" s="15"/>
    </row>
    <row r="130" spans="1:10" ht="15" thickBot="1" x14ac:dyDescent="0.35"/>
    <row r="131" spans="1:10" ht="15" thickBot="1" x14ac:dyDescent="0.35">
      <c r="C131" s="634" t="str">
        <f>template_label_b8_workforce_general_characteristics_turnover_rate&amp;" "&amp;template_label_from&amp;" "&amp;template_starting_date_display&amp;" "&amp;template_label_to&amp;" "&amp;template_ending_date_display&amp;" "&amp;template_label_if_applicable</f>
        <v>B8 –   Personnel – Caractéristiques générales  - Taux de rotation des salariés du - au - [Le cas échéant]</v>
      </c>
      <c r="D131" s="781"/>
      <c r="E131" s="781"/>
      <c r="F131" s="781"/>
      <c r="G131" s="781"/>
      <c r="H131" s="782"/>
    </row>
    <row r="132" spans="1:10" x14ac:dyDescent="0.3">
      <c r="C132" s="636">
        <v>40</v>
      </c>
      <c r="D132" s="783"/>
      <c r="E132" s="783"/>
      <c r="F132" s="783"/>
      <c r="G132" s="783"/>
      <c r="H132" s="784"/>
    </row>
    <row r="133" spans="1:10" x14ac:dyDescent="0.3">
      <c r="C133" s="645">
        <v>118</v>
      </c>
      <c r="D133" s="622"/>
      <c r="E133" s="622"/>
      <c r="F133" s="622"/>
      <c r="G133" s="622"/>
      <c r="H133" s="741"/>
    </row>
    <row r="134" spans="1:10" x14ac:dyDescent="0.3">
      <c r="C134" s="129" t="str">
        <f>template_label_number_of_employees_who_left_during_the_reporting_period</f>
        <v>Nombre de salariés ayant quitté l'entreprise pendant la période de reporting</v>
      </c>
      <c r="D134" s="994"/>
      <c r="E134" s="994"/>
      <c r="F134" s="994"/>
      <c r="G134" s="994"/>
      <c r="H134" s="995"/>
      <c r="I134" s="15" t="str">
        <f>IF(
'Table of Contents &amp; Validation'!D41=TRUE,
IF(
    AND('General Information'!$E$284&lt;50, D134=""),
    "",
    IF(
        AND('General Information'!$E$284&lt;50, D134&lt;&gt;""),
        template_label_ok,
        IF(
            AND('General Information'!$E$284&gt;=50, D134&lt;&gt;""),
            template_label_ok,
            ""
        )
    )
),
IF(
    AND('General Information'!$E$284&lt;50, D134=""),
    "",
    IF(
        AND('General Information'!$E$284&lt;50, D134&lt;&gt;""),
        template_label_ok,
        IF(
            AND('General Information'!$E$284&gt;=50, D134&lt;&gt;""),
            template_label_ok,
            template_label_missing_value
        )
    )
)
)</f>
        <v/>
      </c>
    </row>
    <row r="135" spans="1:10" x14ac:dyDescent="0.3">
      <c r="C135" s="129" t="str">
        <f>template_label_number_of_employees_at_the_beginning_of_the_reporting_period</f>
        <v>Nombre de salariés au début de la période de reporting</v>
      </c>
      <c r="D135" s="994"/>
      <c r="E135" s="994"/>
      <c r="F135" s="994"/>
      <c r="G135" s="994"/>
      <c r="H135" s="995"/>
      <c r="I135" s="15" t="str">
        <f>IF(
'Table of Contents &amp; Validation'!D41=TRUE,
IF(
    AND('General Information'!$E$284&lt;50, D135=""),
    "",
    IF(
        AND('General Information'!$E$284&lt;50, D135&lt;&gt;""),
        template_label_ok,
        IF(
            AND('General Information'!$E$284&gt;=50, D135&lt;&gt;""),
            template_label_ok,
            ""
        )
    )
),
IF(
    AND('General Information'!$E$284&lt;50, D135=""),
    "",
    IF(
        AND('General Information'!$E$284&lt;50, D135&lt;&gt;""),
        template_label_ok,
        IF(
            AND('General Information'!$E$284&gt;=50, D135&lt;&gt;""),
            template_label_ok,
            template_label_missing_value
        )
    )
)
)</f>
        <v/>
      </c>
    </row>
    <row r="136" spans="1:10" x14ac:dyDescent="0.3">
      <c r="C136" s="129" t="str">
        <f>template_label_number_of_employees_at_the_end_of_the_reporting_period</f>
        <v>Nombre de salariés à la fin de la période de reporting</v>
      </c>
      <c r="D136" s="994"/>
      <c r="E136" s="994"/>
      <c r="F136" s="994"/>
      <c r="G136" s="994"/>
      <c r="H136" s="995"/>
      <c r="I136" s="15" t="str">
        <f>IF(
'Table of Contents &amp; Validation'!D41=TRUE,
IF(
    AND('General Information'!$E$284&lt;50, D136=""),
    "",
    IF(
        AND('General Information'!$E$284&lt;50, D136&lt;&gt;""),
        template_label_ok,
        IF(
            AND('General Information'!$E$284&gt;=50, D136&lt;&gt;""),
            template_label_ok,
            ""
        )
    )
),
IF(
    AND('General Information'!$E$284&lt;50, D136=""),
    "",
    IF(
        AND('General Information'!$E$284&lt;50, D136&lt;&gt;""),
        template_label_ok,
        IF(
            AND('General Information'!$E$284&gt;=50, D136&lt;&gt;""),
            template_label_ok,
            template_label_missing_value
        )
    )
)
)</f>
        <v/>
      </c>
    </row>
    <row r="137" spans="1:10" ht="15" thickBot="1" x14ac:dyDescent="0.35">
      <c r="C137" s="90" t="str">
        <f>template_label_employee_turnover_rate_in_the_reporting_period</f>
        <v xml:space="preserve">Taux de rotation des salariés [%] pendant la période de reporting
</v>
      </c>
      <c r="D137" s="996" t="str">
        <f>IF(AND(D134&lt;&gt;"",D135&lt;&gt;"",D136&lt;&gt;""),(D134/((D135+D136)/2)),"-")</f>
        <v>-</v>
      </c>
      <c r="E137" s="996"/>
      <c r="F137" s="996"/>
      <c r="G137" s="996"/>
      <c r="H137" s="997"/>
    </row>
    <row r="138" spans="1:10" ht="15" thickBot="1" x14ac:dyDescent="0.35"/>
    <row r="139" spans="1:10" ht="15" thickBot="1" x14ac:dyDescent="0.35">
      <c r="C139" s="1016" t="str">
        <f>template_label_b9_workforce_health_and_safety&amp;" "&amp;template_label_from&amp;" "&amp;template_starting_date_display&amp;" "&amp;template_label_to&amp;" "&amp;template_ending_date_display&amp;" "&amp;template_label_always_to_be_reported</f>
        <v xml:space="preserve">B9 – Personnel – Santé et sécurité du - au - [Toujours à reporter] 
</v>
      </c>
      <c r="D139" s="1017"/>
      <c r="E139" s="1017"/>
      <c r="F139" s="1017"/>
      <c r="G139" s="1017"/>
      <c r="H139" s="1018"/>
    </row>
    <row r="140" spans="1:10" x14ac:dyDescent="0.3">
      <c r="A140" s="381" t="s">
        <v>58</v>
      </c>
      <c r="B140" s="382" t="s">
        <v>59</v>
      </c>
      <c r="C140" s="220" t="str">
        <f>template_label_number_of_recordable_work_related_accidents_in_the_reporting_period</f>
        <v>Nombre d'accidents du travail comptabilisables pendant la période de reporting</v>
      </c>
      <c r="D140" s="1019"/>
      <c r="E140" s="1019"/>
      <c r="F140" s="1019"/>
      <c r="G140" s="1019"/>
      <c r="H140" s="1020"/>
      <c r="I140" s="15" t="str">
        <f>IF(
'Table of Contents &amp; Validation'!D42=TRUE,
IF(
    AND(
        OR('General Information'!E125="Option A (Basic Module only)", 'General Information'!E125="Option B (Basic Module and Comprehensive Module)"),
        NumberOfRecordableWorkRelatedAccidentsInTheReportingPeriod=""
    ),
    "",
    IF('General Information'!E125="", "", template_label_ok)
),
IF(
    AND(
        OR('General Information'!E125="Option A (Basic Module only)", 'General Information'!E125="Option B (Basic Module and Comprehensive Module)"),
        NumberOfRecordableWorkRelatedAccidentsInTheReportingPeriod=""
    ),
    template_label_missing_value,
    IF('General Information'!E125="", "", template_label_ok)
)
)</f>
        <v/>
      </c>
    </row>
    <row r="141" spans="1:10" x14ac:dyDescent="0.3">
      <c r="A141" s="381" t="s">
        <v>58</v>
      </c>
      <c r="B141" s="382" t="s">
        <v>59</v>
      </c>
      <c r="C141" s="130" t="str">
        <f>template_label_number_of_hours_worked_by_one_fulltime_employee_in_the_reporting_period</f>
        <v>Nombre d’heures travaillées par un salarié à temps plein au cours de l'année de référence</v>
      </c>
      <c r="D141" s="1021">
        <v>2000</v>
      </c>
      <c r="E141" s="1022"/>
      <c r="F141" s="1022"/>
      <c r="G141" s="1022"/>
      <c r="H141" s="1023"/>
      <c r="I141" s="15" t="str">
        <f>IF(D141="", "MISSING VALUE", IF(D141&lt;&gt;2000, "OK", ""))</f>
        <v/>
      </c>
      <c r="J141" s="10" t="str">
        <f>template_label_health_and_safety_formula_warning</f>
        <v>ℹ️ L'entreprise peut modifier la valeur de cette cellule car 2 000 heures est basé sur l'hypothèse qu'un travailleur à temps plein travaille 2 000 heures par an. Ce chiffre peut varier selon le pays ou le secteur, en fonction des règles nationales ou des conventions collectives</v>
      </c>
    </row>
    <row r="142" spans="1:10" x14ac:dyDescent="0.3">
      <c r="A142" s="381" t="s">
        <v>58</v>
      </c>
      <c r="B142" s="382" t="s">
        <v>59</v>
      </c>
      <c r="C142" s="130" t="str">
        <f>template_label_total_number_of_hours_worked_in_a_year_by_all_employees_in_the_reporting_period</f>
        <v>Nombre total d’heures travaillées en un an par l’ensemble des salariés pendant la période de reporting</v>
      </c>
      <c r="D142" s="1024" t="str">
        <f>IF('General Information'!E284="","-",D141*'General Information'!E284)</f>
        <v>-</v>
      </c>
      <c r="E142" s="1025"/>
      <c r="F142" s="1025"/>
      <c r="G142" s="1025"/>
      <c r="H142" s="1026"/>
      <c r="I142" s="15"/>
    </row>
    <row r="143" spans="1:10" ht="15" thickBot="1" x14ac:dyDescent="0.35">
      <c r="A143" s="381" t="s">
        <v>58</v>
      </c>
      <c r="B143" s="382" t="s">
        <v>59</v>
      </c>
      <c r="C143" s="183" t="str">
        <f>template_label_rate_of_recordable_work_related_accidents_in_the_reporting_period</f>
        <v>Taux d’accidents du travail comptabilisables pendant la période de reporting</v>
      </c>
      <c r="D143" s="1027" t="str">
        <f>IFERROR(IF(AND(D140&lt;&gt;"", D142&lt;&gt;""), ($D$140/$D$142)*200000, "-"), "-")</f>
        <v>-</v>
      </c>
      <c r="E143" s="1028"/>
      <c r="F143" s="1028"/>
      <c r="G143" s="1028"/>
      <c r="H143" s="1029"/>
    </row>
    <row r="144" spans="1:10" ht="15" thickBot="1" x14ac:dyDescent="0.35">
      <c r="A144" s="381" t="s">
        <v>60</v>
      </c>
      <c r="B144" s="382" t="s">
        <v>59</v>
      </c>
      <c r="C144" s="182" t="str">
        <f>template_label_number_of_fatalities_as_a_result_of_work_related_injuries_and_work_related_ill_health</f>
        <v>Nombre de décès dus à des accidents du travail et à des problèmes de santé liés au travail</v>
      </c>
      <c r="D144" s="1000"/>
      <c r="E144" s="1000"/>
      <c r="F144" s="1000"/>
      <c r="G144" s="1000"/>
      <c r="H144" s="1001"/>
      <c r="I144" s="15" t="str">
        <f>IF(
'Table of Contents &amp; Validation'!D42=TRUE,
IF(
    AND(
        OR('General Information'!E125="Option A (Basic Module only)", 'General Information'!E125="Option B (Basic Module and Comprehensive Module)"),
        NumberOfFatalitiesAsAResultOfWorkRelatedInjuriesAndWorkRelatedIllHealth=""
    ),
    "",
    IF('General Information'!E125="", "", template_label_ok)
),
IF(
    AND(
        OR('General Information'!E125="Option A (Basic Module only)", 'General Information'!E125="Option B (Basic Module and Comprehensive Module)"),
        NumberOfFatalitiesAsAResultOfWorkRelatedInjuriesAndWorkRelatedIllHealth=""
    ),
    template_label_missing_value,
    IF('General Information'!E125="", "", template_label_ok)
)
)</f>
        <v/>
      </c>
    </row>
    <row r="145" spans="1:9" ht="15" thickBot="1" x14ac:dyDescent="0.35"/>
    <row r="146" spans="1:9" ht="15" thickBot="1" x14ac:dyDescent="0.35">
      <c r="C146" s="1002" t="str">
        <f>template_label_b10_workforce_remuneration_collective_bargaining&amp;" "&amp;template_label_from&amp;" "&amp;template_starting_date_display&amp;" "&amp;template_label_to&amp;" "&amp;template_ending_date_display&amp;" "&amp;template_label_always_to_be_reported_if_applicable</f>
        <v>B10 – Personnel – Rémunération et négociation collective du - au - [Toujours à reporter + le cas échéant]</v>
      </c>
      <c r="D146" s="1003"/>
      <c r="E146" s="1003"/>
      <c r="F146" s="1003"/>
      <c r="G146" s="1003"/>
      <c r="H146" s="1004"/>
    </row>
    <row r="147" spans="1:9" ht="49.2" customHeight="1" thickBot="1" x14ac:dyDescent="0.35">
      <c r="A147" s="381" t="s">
        <v>61</v>
      </c>
      <c r="B147" s="382" t="s">
        <v>62</v>
      </c>
      <c r="C147" s="497" t="str">
        <f>template_label_employees_receive_pay_that_is_equal_or_above_applicable_minimum_wage</f>
        <v>Les salariés perçoivent une rémunération égale ou supérieure au salaire minimal applicable, déterminé directement par la législation nationale sur le salaire minimum ou par une convention collective.</v>
      </c>
      <c r="D147" s="1005" t="s">
        <v>328</v>
      </c>
      <c r="E147" s="1005"/>
      <c r="F147" s="1005"/>
      <c r="G147" s="1005"/>
      <c r="H147" s="1006"/>
      <c r="I147" s="15" t="str">
        <f>IF(OR(
'Table of Contents &amp; Validation'!D44=TRUE,'Table of Contents &amp; Validation'!D43=TRUE),
IF(
    AND(
        OR('General Information'!E125="Option A (Basic Module only)", 'General Information'!E125="Option B (Basic Module and Comprehensive Module)"),
        EmployeesReceivePayEqualOrAboveMinimumWageDeterminedByNationalLawOrCollectiveAgreement=""
    ),
    "",
    IF('General Information'!E125="", "", template_label_ok)
),
IF(
    AND(
        OR('General Information'!E125="Option A (Basic Module only)", 'General Information'!E125="Option B (Basic Module and Comprehensive Module)"),
        EmployeesReceivePayEqualOrAboveMinimumWageDeterminedByNationalLawOrCollectiveAgreement=""
    ),
    template_label_missing_value,
    IF('General Information'!E125="", "", template_label_ok)
)
)</f>
        <v/>
      </c>
    </row>
    <row r="148" spans="1:9" x14ac:dyDescent="0.3">
      <c r="A148" s="381" t="s">
        <v>63</v>
      </c>
      <c r="B148" s="382" t="s">
        <v>64</v>
      </c>
      <c r="C148" s="181" t="str">
        <f>template_label_average_gross_hourly_pay_level_of_male_employees &amp; " " &amp; "(" &amp; template_label_amount_in &amp; " " &amp; template_currency &amp; ")"</f>
        <v>Rémunération horaire brute moyenne des salariés hommes (montant en )</v>
      </c>
      <c r="D148" s="1007"/>
      <c r="E148" s="1008"/>
      <c r="F148" s="1008"/>
      <c r="G148" s="1008"/>
      <c r="H148" s="1009"/>
      <c r="I148" s="15" t="str">
        <f>IF(
'Table of Contents &amp; Validation'!D44=TRUE,
IF(
    AND('General Information'!$E$284&lt;150, D148=""),
    "",
    IF(
        AND('General Information'!$E$284&lt;150, D148&lt;&gt;""),
        template_label_ok,
        IF(
            AND('General Information'!$E$284&gt;=150, D148&lt;&gt;""),
            template_label_ok,
            ""
        )
    )
),
IF(
    AND('General Information'!$E$284&lt;150, D148=""),
    "",
    IF(
        AND('General Information'!$E$284&lt;150, D148&lt;&gt;""),
        template_label_ok,
        IF(
            AND('General Information'!$E$284&gt;=150, D148&lt;&gt;""),
            template_label_ok,
            template_label_missing_value
        )
    )
)
)</f>
        <v/>
      </c>
    </row>
    <row r="149" spans="1:9" x14ac:dyDescent="0.3">
      <c r="A149" s="381" t="s">
        <v>63</v>
      </c>
      <c r="B149" s="382" t="s">
        <v>64</v>
      </c>
      <c r="C149" s="131" t="str">
        <f>template_label_average_gross_hourly_pay_level_of_female_employees &amp; " " &amp; "(" &amp; template_label_amount_in &amp; " " &amp; template_currency &amp; ")"</f>
        <v>Rémunération horaire brute moyenne des salariés femmes (montant en )</v>
      </c>
      <c r="D149" s="1010"/>
      <c r="E149" s="1011"/>
      <c r="F149" s="1011"/>
      <c r="G149" s="1011"/>
      <c r="H149" s="1012"/>
      <c r="I149" s="15" t="str">
        <f>IF(
'Table of Contents &amp; Validation'!D44=TRUE,
IF(
    AND('General Information'!$E$284&lt;150, D149=""),
    "",
    IF(
        AND('General Information'!$E$284&lt;150, D149&lt;&gt;""),
        template_label_ok,
        IF(
            AND('General Information'!$E$284&gt;=150, D149&lt;&gt;""),
            template_label_ok,
            ""
        )
    )
),
IF(
    AND('General Information'!$E$284&lt;150, D149=""),
    "",
    IF(
        AND('General Information'!$E$284&lt;150, D149&lt;&gt;""),
        template_label_ok,
        IF(
            AND('General Information'!$E$284&gt;=150, D149&lt;&gt;""),
            template_label_ok,
            template_label_missing_value
        )
    )
)
)</f>
        <v/>
      </c>
    </row>
    <row r="150" spans="1:9" ht="15" thickBot="1" x14ac:dyDescent="0.35">
      <c r="A150" s="381" t="s">
        <v>63</v>
      </c>
      <c r="B150" s="382" t="s">
        <v>64</v>
      </c>
      <c r="C150" s="132" t="str">
        <f>template_label_percentage_gap_in_pay_between_the__undertakings_female_and_male_employees</f>
        <v>Écart de rémunération en pourcentage entre les salariés femmes et hommes de l'entreprise [%]</v>
      </c>
      <c r="D150" s="1013" t="str">
        <f>IF(AND(D148&lt;&gt;"",D149&lt;&gt;""),((D148-D149)/D148),"-")</f>
        <v>-</v>
      </c>
      <c r="E150" s="1014"/>
      <c r="F150" s="1014"/>
      <c r="G150" s="1014"/>
      <c r="H150" s="1015"/>
    </row>
    <row r="151" spans="1:9" x14ac:dyDescent="0.3">
      <c r="A151" s="622" t="s">
        <v>65</v>
      </c>
      <c r="B151" s="623" t="s">
        <v>66</v>
      </c>
      <c r="C151" s="180" t="str">
        <f>template_label_number_of_employees_covered_by_collective_bargaining_agreements</f>
        <v>Nombre de salariés couverts par des conventions collectives</v>
      </c>
      <c r="D151" s="1034"/>
      <c r="E151" s="1035"/>
      <c r="F151" s="1035"/>
      <c r="G151" s="1035"/>
      <c r="H151" s="1036"/>
      <c r="I151" s="15" t="str">
        <f>IF(OR(
'Table of Contents &amp; Validation'!D44=TRUE,'Table of Contents &amp; Validation'!D43=TRUE),
IF(
AND(
OR('General Information'!E125="Option A (Basic Module only)",'General Information'!E125="Option B (Basic Module and Comprehensive Module)"),
D151=""
),
"",
IF('General Information'!E125="","",template_label_ok)
),
IF(
AND(
OR('General Information'!E125="Option A (Basic Module only)",'General Information'!E125="Option B (Basic Module and Comprehensive Module)"),
D151=""
),
template_label_missing_value,
IF('General Information'!E125="","",template_label_ok)
)
)</f>
        <v/>
      </c>
    </row>
    <row r="152" spans="1:9" ht="15" thickBot="1" x14ac:dyDescent="0.35">
      <c r="A152" s="622"/>
      <c r="B152" s="623"/>
      <c r="C152" s="132" t="str">
        <f>template_label_percentage_of_employees_covered_by_collective_bargaining_agreements</f>
        <v>Pourcentage des salariés couverts par des conventions collectives  [%]</v>
      </c>
      <c r="D152" s="1037" t="str">
        <f>IF(D151&lt;&gt;"", IF('General Information'!E284=0, "-", D151/'General Information'!E284), "-")</f>
        <v>-</v>
      </c>
      <c r="E152" s="1038"/>
      <c r="F152" s="1038"/>
      <c r="G152" s="1038"/>
      <c r="H152" s="1039"/>
    </row>
    <row r="153" spans="1:9" ht="15" thickBot="1" x14ac:dyDescent="0.35"/>
    <row r="154" spans="1:9" ht="15" thickBot="1" x14ac:dyDescent="0.35">
      <c r="C154" s="1002" t="str">
        <f>template_label_number_of_annual_training_hours_per_employee_during_the_reporting_period&amp;" "&amp;template_label_from&amp;" "&amp;template_starting_date_display&amp;" "&amp;template_label_to&amp;" "&amp;template_ending_date_display&amp;" "&amp;template_label_always_to_be_reported</f>
        <v xml:space="preserve">B10 – Personnel – Nombre moyen d'heures annuelles de formation par salarié au cours de la période de reporting du - au - [Toujours à reporter] 
</v>
      </c>
      <c r="D154" s="1003"/>
      <c r="E154" s="1003"/>
      <c r="F154" s="1003"/>
      <c r="G154" s="1003"/>
      <c r="H154" s="1004"/>
    </row>
    <row r="155" spans="1:9" x14ac:dyDescent="0.3">
      <c r="C155" s="636" t="s">
        <v>67</v>
      </c>
      <c r="D155" s="783"/>
      <c r="E155" s="783"/>
      <c r="F155" s="783"/>
      <c r="G155" s="783"/>
      <c r="H155" s="784"/>
    </row>
    <row r="156" spans="1:9" x14ac:dyDescent="0.3">
      <c r="C156" s="403" t="str">
        <f>template_label_gender</f>
        <v>Genre</v>
      </c>
      <c r="D156" s="1030" t="str">
        <f>template_label_number_of_annual_training_hours_per_employee_during_the_reporting_period</f>
        <v>B10 – Personnel – Nombre moyen d'heures annuelles de formation par salarié au cours de la période de reporting</v>
      </c>
      <c r="E156" s="1030"/>
      <c r="F156" s="1030"/>
      <c r="G156" s="1030"/>
      <c r="H156" s="1031"/>
      <c r="I156" s="15"/>
    </row>
    <row r="157" spans="1:9" x14ac:dyDescent="0.3">
      <c r="C157" s="128" t="str">
        <f>template_label_male</f>
        <v>Homme</v>
      </c>
      <c r="D157" s="1032"/>
      <c r="E157" s="1032"/>
      <c r="F157" s="1032"/>
      <c r="G157" s="1032"/>
      <c r="H157" s="1033"/>
      <c r="I157" s="987" t="str">
        <f>IF(OR(
'Table of Contents &amp; Validation'!D45=TRUE,'Table of Contents &amp; Validation'!D43=TRUE),
IF(
    OR('General Information'!E125="Option A (Basic Module only)", 'General Information'!E125="Option B (Basic Module and Comprehensive Module)"),
    IF(OR(D157&lt;&gt;"", D158&lt;&gt;"", D159&lt;&gt;"", D160&lt;&gt;""), template_label_ok, ""),
    ""
),
IF(
    OR('General Information'!E125="Option A (Basic Module only)", 'General Information'!E125="Option B (Basic Module and Comprehensive Module)"),
    IF(OR(D157&lt;&gt;"", D158&lt;&gt;"", D159&lt;&gt;"", D160&lt;&gt;""), template_label_ok, template_label_missing_value),
    ""
)
)</f>
        <v/>
      </c>
    </row>
    <row r="158" spans="1:9" x14ac:dyDescent="0.3">
      <c r="C158" s="128" t="str">
        <f>template_label_female</f>
        <v>Femme</v>
      </c>
      <c r="D158" s="1032"/>
      <c r="E158" s="1032"/>
      <c r="F158" s="1032"/>
      <c r="G158" s="1032"/>
      <c r="H158" s="1033"/>
      <c r="I158" s="987"/>
    </row>
    <row r="159" spans="1:9" x14ac:dyDescent="0.3">
      <c r="C159" s="128" t="str">
        <f>template_label_other</f>
        <v>Autre</v>
      </c>
      <c r="D159" s="1032"/>
      <c r="E159" s="1032"/>
      <c r="F159" s="1032"/>
      <c r="G159" s="1032"/>
      <c r="H159" s="1033"/>
      <c r="I159" s="987"/>
    </row>
    <row r="160" spans="1:9" x14ac:dyDescent="0.3">
      <c r="C160" s="128" t="str">
        <f>template_label_not_reported</f>
        <v>Non communiqué</v>
      </c>
      <c r="D160" s="1032"/>
      <c r="E160" s="1032"/>
      <c r="F160" s="1032"/>
      <c r="G160" s="1032"/>
      <c r="H160" s="1033"/>
      <c r="I160" s="987"/>
    </row>
    <row r="161" spans="1:9" x14ac:dyDescent="0.3">
      <c r="C161" s="1057" t="str">
        <f>template_label_average_number_of_annual_training_hours_per_employee</f>
        <v>Nombre moyen d’heures de formation annuelles par salarié</v>
      </c>
      <c r="D161" s="1058"/>
      <c r="E161" s="1058"/>
      <c r="F161" s="1058"/>
      <c r="G161" s="1058"/>
      <c r="H161" s="1059"/>
      <c r="I161" s="15"/>
    </row>
    <row r="162" spans="1:9" ht="15" thickBot="1" x14ac:dyDescent="0.35">
      <c r="C162" s="1060" t="str">
        <f>IFERROR(
    IF(
        AND(D18&lt;&gt;"",D18&lt;&gt;0,D19&lt;&gt;"",D19&lt;&gt;0,D20&lt;&gt;"",D20&lt;&gt;0,D21&lt;&gt;"",D21&lt;&gt;0),
        AVERAGE(D157:D160),
        IF(OR(D18="", D18=0), AVERAGE(D158:D160),
        IF(OR(D19="", D19=0), AVERAGE(D157,D159,D160),
        IF(OR(D20="", D20=0), AVERAGE(D157,D158,D160),
        IF(OR(D21="", D21=0), AVERAGE(D157,D158,D159), "-"))))
    ),
"-")</f>
        <v>-</v>
      </c>
      <c r="D162" s="990"/>
      <c r="E162" s="990"/>
      <c r="F162" s="990"/>
      <c r="G162" s="990"/>
      <c r="H162" s="991"/>
      <c r="I162" s="15"/>
    </row>
    <row r="163" spans="1:9" ht="15" thickBot="1" x14ac:dyDescent="0.35"/>
    <row r="164" spans="1:9" ht="15" thickBot="1" x14ac:dyDescent="0.35">
      <c r="C164" s="1061" t="str">
        <f>template_label_c5_additional_workforce_characteristics&amp;" "&amp;template_label_from&amp;" "&amp;template_starting_date_display&amp;" "&amp;template_label_to&amp;" "&amp;template_ending_date_display&amp;" " &amp; template_label_may</f>
        <v>C5 – Caractéristiques supplémentaires (générales) du personnel du - au - [peut (facultatif)]</v>
      </c>
      <c r="D164" s="1062"/>
      <c r="E164" s="1062"/>
      <c r="F164" s="1062"/>
      <c r="G164" s="1062"/>
      <c r="H164" s="1063"/>
    </row>
    <row r="165" spans="1:9" x14ac:dyDescent="0.3">
      <c r="A165" s="381">
        <v>59</v>
      </c>
      <c r="B165" s="382" t="s">
        <v>68</v>
      </c>
      <c r="C165" s="133" t="str">
        <f>template_label_number_of_male_employees_at_management_level</f>
        <v>Nombre de salariés hommes au niveau de la direction</v>
      </c>
      <c r="D165" s="1007"/>
      <c r="E165" s="1008"/>
      <c r="F165" s="1008"/>
      <c r="G165" s="1008"/>
      <c r="H165" s="1009"/>
      <c r="I165" s="15" t="str">
        <f>IF(D165&lt;&gt;"", template_label_ok, "")</f>
        <v/>
      </c>
    </row>
    <row r="166" spans="1:9" x14ac:dyDescent="0.3">
      <c r="A166" s="381">
        <v>59</v>
      </c>
      <c r="B166" s="382" t="s">
        <v>68</v>
      </c>
      <c r="C166" s="134" t="str">
        <f>template_label_number_of_female_employees_at_management_level</f>
        <v>Nombre de salariés femmes au niveau de la direction</v>
      </c>
      <c r="D166" s="1010"/>
      <c r="E166" s="1011"/>
      <c r="F166" s="1011"/>
      <c r="G166" s="1011"/>
      <c r="H166" s="1012"/>
      <c r="I166" s="15" t="str">
        <f>IF(D166&lt;&gt;"", template_label_ok, "")</f>
        <v/>
      </c>
    </row>
    <row r="167" spans="1:9" ht="15" thickBot="1" x14ac:dyDescent="0.35">
      <c r="A167" s="381">
        <v>59</v>
      </c>
      <c r="B167" s="382" t="s">
        <v>68</v>
      </c>
      <c r="C167" s="132" t="str">
        <f>template_label_female_to_male_ratio_at_management_level_for_the_reporting_period</f>
        <v>Ratio femmes/hommes au niveau de la direction pour la période de reporting</v>
      </c>
      <c r="D167" s="1064" t="str">
        <f>IF(AND(D165&lt;&gt;"",D166&lt;&gt;""),$D$166/$D$165,"-")</f>
        <v>-</v>
      </c>
      <c r="E167" s="1065"/>
      <c r="F167" s="1065"/>
      <c r="G167" s="1065"/>
      <c r="H167" s="1066"/>
    </row>
    <row r="168" spans="1:9" ht="28.8" x14ac:dyDescent="0.3">
      <c r="A168" s="381">
        <v>60</v>
      </c>
      <c r="B168" s="382" t="s">
        <v>69</v>
      </c>
      <c r="C168" s="135" t="str">
        <f>template_label_total_self_employed_workers_without_personnel_that_are_working_exclusively_for_the_undertaking</f>
        <v>Total des travailleurs indépendants sans personnel qui travaillent exclusivement pour l’entreprise</v>
      </c>
      <c r="D168" s="1040"/>
      <c r="E168" s="1041"/>
      <c r="F168" s="1041"/>
      <c r="G168" s="1041"/>
      <c r="H168" s="1042"/>
      <c r="I168" s="15" t="str">
        <f>IF(D168&lt;&gt;"", template_label_ok, "")</f>
        <v/>
      </c>
    </row>
    <row r="169" spans="1:9" ht="29.4" thickBot="1" x14ac:dyDescent="0.35">
      <c r="A169" s="381">
        <v>60</v>
      </c>
      <c r="B169" s="382" t="s">
        <v>69</v>
      </c>
      <c r="C169" s="136" t="str">
        <f>template_label_total_temporary_workers_provided_by_undertakings_primarily_engaged_in_employment_activities</f>
        <v>Total des travailleurs temporaires mis à disposition par des entreprises exerçant principalement des activités liées à l’emploi</v>
      </c>
      <c r="D169" s="1043"/>
      <c r="E169" s="1044"/>
      <c r="F169" s="1044"/>
      <c r="G169" s="1044"/>
      <c r="H169" s="1045"/>
      <c r="I169" s="15" t="str">
        <f>IF(D169&lt;&gt;"", template_label_ok, "")</f>
        <v/>
      </c>
    </row>
    <row r="170" spans="1:9" ht="15" thickBot="1" x14ac:dyDescent="0.35"/>
    <row r="171" spans="1:9" ht="15" thickBot="1" x14ac:dyDescent="0.35">
      <c r="C171" s="1046" t="str">
        <f>template_label_c6_additional_own_workforce_information_human_rights_policies_and_processes&amp;" "&amp;template_label_from&amp;" "&amp;template_starting_date_display&amp;" "&amp;template_label_to&amp;" "&amp;template_ending_date_display&amp;" "&amp;template_label_always_to_be_reported</f>
        <v xml:space="preserve">C6 – Informations supplémentaires sur le personnel de l’entreprise – Politiques et procédures en matière de droits de l’homme du - au - [Toujours à reporter] 
</v>
      </c>
      <c r="D171" s="1047"/>
      <c r="E171" s="1047"/>
      <c r="F171" s="1047"/>
      <c r="G171" s="1047"/>
      <c r="H171" s="1048"/>
    </row>
    <row r="172" spans="1:9" x14ac:dyDescent="0.3">
      <c r="A172" s="381" t="s">
        <v>70</v>
      </c>
      <c r="B172" s="382">
        <v>173</v>
      </c>
      <c r="C172" s="137" t="str">
        <f>template_label_does_the_undertaking_have_a_code_of_conduct_or_human_rights_policy_for_its_own_workforce</f>
        <v>L’entreprise dispose-t-elle d’un code de conduite ou d’une politique en matière de droits de l’homme pour son personnel ?</v>
      </c>
      <c r="D172" s="1049"/>
      <c r="E172" s="1050"/>
      <c r="F172" s="1050"/>
      <c r="G172" s="1050"/>
      <c r="H172" s="1051"/>
      <c r="I172" s="15" t="str">
        <f>IF(
'Table of Contents &amp; Validation'!D60=TRUE,
IF(
    AND('General Information'!$E$125="Option B (Basic Module and Comprehensive Module)", D172&lt;&gt;""),
    template_label_ok,
    IF(
        AND('General Information'!$E$125="Option B (Basic Module and Comprehensive Module)", D172=""),
        "",
        IF(
            AND('General Information'!$E$125="Option A (Basic Module only)", D172&lt;&gt;""),
            template_label_ok,
            ""
        )
    )
),
IF(
    AND('General Information'!$E$125="Option B (Basic Module and Comprehensive Module)", D172&lt;&gt;""),
    template_label_ok,
    IF(
        AND('General Information'!$E$125="Option B (Basic Module and Comprehensive Module)", D172=""),
        template_label_missing_value,
        IF(
            AND('General Information'!$E$125="Option A (Basic Module only)", D172&lt;&gt;""),
            template_label_ok,
            ""
        )
    )
)
)</f>
        <v/>
      </c>
    </row>
    <row r="173" spans="1:9" x14ac:dyDescent="0.3">
      <c r="A173" s="381" t="s">
        <v>71</v>
      </c>
      <c r="B173" s="382">
        <v>173</v>
      </c>
      <c r="C173" s="111" t="str">
        <f>template_label_if_yes_does_this_cover</f>
        <v>Si oui, cela couvre-t-il :</v>
      </c>
      <c r="D173" s="1052"/>
      <c r="E173" s="1053"/>
      <c r="F173" s="1053"/>
      <c r="G173" s="1053"/>
      <c r="H173" s="1054"/>
    </row>
    <row r="174" spans="1:9" x14ac:dyDescent="0.3">
      <c r="A174" s="381" t="s">
        <v>71</v>
      </c>
      <c r="B174" s="382">
        <v>173</v>
      </c>
      <c r="C174" s="138" t="str">
        <f>template_label_child_labour</f>
        <v>travail des enfants</v>
      </c>
      <c r="D174" s="1055" t="b">
        <v>0</v>
      </c>
      <c r="E174" s="1055"/>
      <c r="F174" s="1055"/>
      <c r="G174" s="1055"/>
      <c r="H174" s="1056"/>
      <c r="I174" s="1075" t="str">
        <f>IF(
    AND(OR(D174=TRUE,D175=TRUE,D176=TRUE,D177=TRUE,D178=TRUE,D179=TRUE), D172="YES"),
    template_label_ok,
    IF(
        AND(D174=FALSE,D175=FALSE,D176=FALSE,D177=FALSE,D178=FALSE,D179=FALSE, D172="YES"),
        template_label_missing_value,
        IF(
            AND(D174=FALSE,D175=FALSE,D176=FALSE,D177=FALSE,D178=FALSE,D179=FALSE, D172="NO"),
            "",
            IF(
                AND(D174=FALSE,D175=FALSE,D176=FALSE,D177=FALSE,D178=FALSE,D179=FALSE, D172=""),
                "",
                IF(
                    AND(OR(D174=TRUE,D175=TRUE,D176=TRUE,D177=TRUE,D178=TRUE,D179=TRUE), D172=""),
                    "",
                    template_label_value_inconsistency
                )
            )
        )
    )
)</f>
        <v/>
      </c>
    </row>
    <row r="175" spans="1:9" x14ac:dyDescent="0.3">
      <c r="A175" s="381" t="s">
        <v>71</v>
      </c>
      <c r="B175" s="382">
        <v>173</v>
      </c>
      <c r="C175" s="138" t="str">
        <f>template_label_forced_labour</f>
        <v>travail forcé</v>
      </c>
      <c r="D175" s="1055" t="b">
        <v>0</v>
      </c>
      <c r="E175" s="1055"/>
      <c r="F175" s="1055"/>
      <c r="G175" s="1055"/>
      <c r="H175" s="1056"/>
      <c r="I175" s="1075"/>
    </row>
    <row r="176" spans="1:9" x14ac:dyDescent="0.3">
      <c r="A176" s="381" t="s">
        <v>71</v>
      </c>
      <c r="B176" s="382">
        <v>173</v>
      </c>
      <c r="C176" s="138" t="str">
        <f>template_label_human_trafficking</f>
        <v>la traite des êtres humains</v>
      </c>
      <c r="D176" s="1055" t="b">
        <v>0</v>
      </c>
      <c r="E176" s="1055"/>
      <c r="F176" s="1055"/>
      <c r="G176" s="1055"/>
      <c r="H176" s="1056"/>
      <c r="I176" s="1075"/>
    </row>
    <row r="177" spans="1:10" x14ac:dyDescent="0.3">
      <c r="A177" s="381" t="s">
        <v>71</v>
      </c>
      <c r="B177" s="382">
        <v>173</v>
      </c>
      <c r="C177" s="138" t="str">
        <f>template_label_discrimination</f>
        <v>discrimination</v>
      </c>
      <c r="D177" s="1055" t="b">
        <v>0</v>
      </c>
      <c r="E177" s="1055"/>
      <c r="F177" s="1055"/>
      <c r="G177" s="1055"/>
      <c r="H177" s="1056"/>
      <c r="I177" s="1075"/>
    </row>
    <row r="178" spans="1:10" x14ac:dyDescent="0.3">
      <c r="A178" s="381" t="s">
        <v>71</v>
      </c>
      <c r="B178" s="382">
        <v>173</v>
      </c>
      <c r="C178" s="139" t="str">
        <f>template_label_accident_prevention</f>
        <v>prévention des accidents</v>
      </c>
      <c r="D178" s="1076" t="b">
        <v>0</v>
      </c>
      <c r="E178" s="1055"/>
      <c r="F178" s="1055"/>
      <c r="G178" s="1055"/>
      <c r="H178" s="1056"/>
      <c r="I178" s="1075"/>
    </row>
    <row r="179" spans="1:10" x14ac:dyDescent="0.3">
      <c r="A179" s="381" t="s">
        <v>71</v>
      </c>
      <c r="B179" s="382">
        <v>173</v>
      </c>
      <c r="C179" s="140" t="str">
        <f>template_label_other_if_yes_specify</f>
        <v>autre ? (si oui, veuillez préciser)</v>
      </c>
      <c r="D179" s="1055" t="b">
        <v>0</v>
      </c>
      <c r="E179" s="1055"/>
      <c r="F179" s="1055"/>
      <c r="G179" s="1055"/>
      <c r="H179" s="1056"/>
      <c r="I179" s="1075"/>
      <c r="J179" s="10" t="str">
        <f>template_label_other_warning</f>
        <v>ℹ️ Lorsque "autre" est choisi comme forme juridique de l'entreprise, veuillez remplir la ligne ci-dessous</v>
      </c>
    </row>
    <row r="180" spans="1:10" ht="33.6" customHeight="1" x14ac:dyDescent="0.3">
      <c r="A180" s="381" t="s">
        <v>71</v>
      </c>
      <c r="B180" s="382">
        <v>173</v>
      </c>
      <c r="C180" s="89" t="str">
        <f>template_label_specify_other_types_of_content_covered_by_the_code_of_conduct_or_human_rights_policy</f>
        <v>Spécifiez d'autres types de contenus couverts par le code de conduite ou la politique en matière de droits de l'homme</v>
      </c>
      <c r="D180" s="1067"/>
      <c r="E180" s="1067"/>
      <c r="F180" s="1067"/>
      <c r="G180" s="1067"/>
      <c r="H180" s="1068"/>
      <c r="I180" s="15" t="str">
        <f>IF(AND(D179=TRUE,D180&lt;&gt;""), template_label_ok,
IF(AND(D179=TRUE,D180=""), template_label_missing_value,
IF(AND(D179=FALSE,D180&lt;&gt;""), template_label_missing_value,
"")))</f>
        <v/>
      </c>
    </row>
    <row r="181" spans="1:10" ht="31.2" customHeight="1" thickBot="1" x14ac:dyDescent="0.35">
      <c r="A181" s="381" t="s">
        <v>72</v>
      </c>
      <c r="B181" s="382">
        <v>173</v>
      </c>
      <c r="C181" s="141" t="str">
        <f>template_label_does_the_undertaking_have_a_complaint_handling_mechanism_for_its_own_workforce</f>
        <v>L’entreprise dispose-t-elle d’un mécanisme de traitement des plaintes pour son personnel ? </v>
      </c>
      <c r="D181" s="1069"/>
      <c r="E181" s="1070"/>
      <c r="F181" s="1070"/>
      <c r="G181" s="1070"/>
      <c r="H181" s="1071"/>
      <c r="I181" s="15" t="str">
        <f>IF(
'Table of Contents &amp; Validation'!D60=TRUE,
IF(AND('General Information'!$E$125="Option B (Basic Module and Comprehensive Module)",D181&lt;&gt;""), template_label_ok,
IF(AND('General Information'!$E$125="Option B (Basic Module and Comprehensive Module)",D181=""), "",
IF(AND('General Information'!$E$125="Option A (Basic Module only)",D181&lt;&gt;""), template_label_ok,
""))),
IF(AND('General Information'!$E$125="Option B (Basic Module and Comprehensive Module)",D181&lt;&gt;""), template_label_ok,
IF(AND('General Information'!$E$125="Option B (Basic Module and Comprehensive Module)",D181=""), template_label_missing_value,
IF(AND('General Information'!$E$125="Option A (Basic Module only)",D181&lt;&gt;""), template_label_ok,
"")))
)</f>
        <v/>
      </c>
    </row>
    <row r="182" spans="1:10" ht="15" thickBot="1" x14ac:dyDescent="0.35"/>
    <row r="183" spans="1:10" ht="89.4" customHeight="1" thickBot="1" x14ac:dyDescent="0.35">
      <c r="A183" s="1077" t="str">
        <f>template_label_supporting_guidance_c7</f>
        <v>ℹ️ Guide de soutien VSME à la divulgation C7 – Module complet (Incidents graves négatifs liés aux droits de l’homme (paragraphe 62(c))</v>
      </c>
      <c r="B183" s="1078"/>
      <c r="C183" s="849" t="str">
        <f>template_label_c7_severe_negative_human_rights_incidents&amp;" "&amp;template_label_from&amp;" "&amp;template_starting_date_display&amp;" "&amp;template_label_to&amp;" "&amp;template_ending_date_display&amp;" "&amp;template_label_always_to_be_reported</f>
        <v xml:space="preserve">C7 – Incidents graves en matière de droits de l’homme du - au - [Toujours à reporter] 
</v>
      </c>
      <c r="D183" s="850"/>
      <c r="E183" s="850"/>
      <c r="F183" s="850"/>
      <c r="G183" s="850"/>
      <c r="H183" s="851"/>
    </row>
    <row r="184" spans="1:10" x14ac:dyDescent="0.3">
      <c r="A184" s="381">
        <v>62</v>
      </c>
      <c r="B184" s="382">
        <v>174</v>
      </c>
      <c r="C184" s="407" t="str">
        <f>template_label_does_the_undertaking_have_confirmed_incidents_in_its_own_workforce</f>
        <v>L'entreprise a-t-elle des incidents confirmés au sein de son personnel ?</v>
      </c>
      <c r="D184" s="953"/>
      <c r="E184" s="953"/>
      <c r="F184" s="953"/>
      <c r="G184" s="953"/>
      <c r="H184" s="1072"/>
      <c r="I184" s="15" t="str">
        <f>IF(
'Table of Contents &amp; Validation'!D61=TRUE,
IF(AND('General Information'!$E$125="Option B (Basic Module and Comprehensive Module)",D184&lt;&gt;""), template_label_ok,
IF(AND('General Information'!$E$125="Option B (Basic Module and Comprehensive Module)",D184=""), "",
IF(AND('General Information'!$E$125="Option A (Basic Module only)",D184&lt;&gt;""), template_label_ok,
""))),
IF(AND('General Information'!$E$125="Option B (Basic Module and Comprehensive Module)",D184&lt;&gt;""), template_label_ok,
IF(AND('General Information'!$E$125="Option B (Basic Module and Comprehensive Module)",D184=""), template_label_missing_value,
IF(AND('General Information'!$E$125="Option A (Basic Module only)",D184&lt;&gt;""), template_label_ok,
"")))
)</f>
        <v/>
      </c>
    </row>
    <row r="185" spans="1:10" x14ac:dyDescent="0.3">
      <c r="A185" s="381" t="s">
        <v>73</v>
      </c>
      <c r="B185" s="382">
        <v>174</v>
      </c>
      <c r="C185" s="142" t="str">
        <f>template_label_if_yes_are_incidents_related_to</f>
        <v>Si oui, les incidents sont-ils liés à :</v>
      </c>
      <c r="D185" s="1052"/>
      <c r="E185" s="1053"/>
      <c r="F185" s="1053"/>
      <c r="G185" s="1053"/>
      <c r="H185" s="1054"/>
    </row>
    <row r="186" spans="1:10" x14ac:dyDescent="0.3">
      <c r="A186" s="381" t="s">
        <v>73</v>
      </c>
      <c r="B186" s="382">
        <v>174</v>
      </c>
      <c r="C186" s="140" t="str">
        <f>template_label_child_labour</f>
        <v>travail des enfants</v>
      </c>
      <c r="D186" s="1073" t="b">
        <v>0</v>
      </c>
      <c r="E186" s="1073"/>
      <c r="F186" s="1073"/>
      <c r="G186" s="1073"/>
      <c r="H186" s="1074"/>
      <c r="I186" s="1075" t="str" cm="1">
        <f t="array" ref="I186">IF(AND(OR(D186=TRUE,D187=TRUE,D188=TRUE,D189=TRUE,D190=TRUE),D184="YES"), template_label_ok,
IF(AND(D186=FALSE,D187=FALSE,D188=FALSE,D189=FALSE,D190=FALSE,D184="YES"), template_label_missing_value,
IF(AND(D186=FALSE,D187=FALSE,D188=FALSE,D189=FALSE,D190=FALSE,D184=""), "",
IF(AND(D186=FALSE,D187=FALSE,D188=FALSE,D189=FALSE,D190=FALSE,D184="NO"), "",
IF(AND(OR(D186:D190=TRUE),D184=""), "",
template_label_value_inconsistency)))))</f>
        <v/>
      </c>
    </row>
    <row r="187" spans="1:10" x14ac:dyDescent="0.3">
      <c r="A187" s="381" t="s">
        <v>73</v>
      </c>
      <c r="B187" s="382">
        <v>174</v>
      </c>
      <c r="C187" s="140" t="str">
        <f>template_label_forced_labour</f>
        <v>travail forcé</v>
      </c>
      <c r="D187" s="1073" t="b">
        <v>0</v>
      </c>
      <c r="E187" s="1073"/>
      <c r="F187" s="1073"/>
      <c r="G187" s="1073"/>
      <c r="H187" s="1074"/>
      <c r="I187" s="1075"/>
    </row>
    <row r="188" spans="1:10" x14ac:dyDescent="0.3">
      <c r="A188" s="381" t="s">
        <v>73</v>
      </c>
      <c r="B188" s="382">
        <v>174</v>
      </c>
      <c r="C188" s="140" t="str">
        <f>template_label_human_trafficking</f>
        <v>la traite des êtres humains</v>
      </c>
      <c r="D188" s="1073" t="b">
        <v>0</v>
      </c>
      <c r="E188" s="1073"/>
      <c r="F188" s="1073"/>
      <c r="G188" s="1073"/>
      <c r="H188" s="1074"/>
      <c r="I188" s="1075"/>
    </row>
    <row r="189" spans="1:10" x14ac:dyDescent="0.3">
      <c r="A189" s="381" t="s">
        <v>73</v>
      </c>
      <c r="B189" s="382">
        <v>174</v>
      </c>
      <c r="C189" s="140" t="str">
        <f>template_label_discrimination</f>
        <v>discrimination</v>
      </c>
      <c r="D189" s="1073" t="b">
        <v>0</v>
      </c>
      <c r="E189" s="1073"/>
      <c r="F189" s="1073"/>
      <c r="G189" s="1073"/>
      <c r="H189" s="1074"/>
      <c r="I189" s="1075"/>
    </row>
    <row r="190" spans="1:10" x14ac:dyDescent="0.3">
      <c r="A190" s="381" t="s">
        <v>73</v>
      </c>
      <c r="B190" s="382">
        <v>174</v>
      </c>
      <c r="C190" s="140" t="str">
        <f>template_label_other_if_yes_specify</f>
        <v>autre ? (si oui, veuillez préciser)</v>
      </c>
      <c r="D190" s="1073" t="b">
        <v>0</v>
      </c>
      <c r="E190" s="1073"/>
      <c r="F190" s="1073"/>
      <c r="G190" s="1073"/>
      <c r="H190" s="1074"/>
      <c r="I190" s="1075"/>
      <c r="J190" s="10" t="str">
        <f>template_label_other_warning</f>
        <v>ℹ️ Lorsque "autre" est choisi comme forme juridique de l'entreprise, veuillez remplir la ligne ci-dessous</v>
      </c>
    </row>
    <row r="191" spans="1:10" x14ac:dyDescent="0.3">
      <c r="A191" s="381" t="s">
        <v>73</v>
      </c>
      <c r="B191" s="382">
        <v>174</v>
      </c>
      <c r="C191" s="89" t="str">
        <f>template_label_specify_other_human_rights_related_to_the_confirmed_incidents</f>
        <v>Spécifiez d'autres droits de l’homme liés aux incidents confirmés</v>
      </c>
      <c r="D191" s="1085"/>
      <c r="E191" s="1085"/>
      <c r="F191" s="1085"/>
      <c r="G191" s="1085"/>
      <c r="H191" s="1086"/>
      <c r="I191" s="15" t="str">
        <f>IF(AND(D190=TRUE,D191&lt;&gt;""), template_label_ok,
IF(AND(D190=TRUE,D191=""), template_label_missing_value,
IF(AND(D190=FALSE,D191&lt;&gt;""), template_label_missing_value, "")))</f>
        <v/>
      </c>
    </row>
    <row r="192" spans="1:10" x14ac:dyDescent="0.3">
      <c r="A192" s="381" t="s">
        <v>74</v>
      </c>
      <c r="B192" s="382">
        <v>174</v>
      </c>
      <c r="C192" s="89" t="str">
        <f>template_label_description_of_actions_taken_to_address_the_confirmed_incidents</f>
        <v>Description des actions mises en œuvre pour gérer les incidents confirmés</v>
      </c>
      <c r="D192" s="1079"/>
      <c r="E192" s="1080"/>
      <c r="F192" s="1080"/>
      <c r="G192" s="1080"/>
      <c r="H192" s="1081"/>
      <c r="I192" s="15" t="str">
        <f>IF(D192&lt;&gt;"",template_label_ok,"")</f>
        <v/>
      </c>
    </row>
    <row r="193" spans="1:9" ht="28.8" x14ac:dyDescent="0.3">
      <c r="A193" s="381" t="s">
        <v>75</v>
      </c>
      <c r="B193" s="382">
        <v>174</v>
      </c>
      <c r="C193" s="111" t="str">
        <f>template_label_is_the_undertaking_aware_of_any_confirmed_incidents_involving_workers</f>
        <v>L’entreprise a-t-elle connaissance d’incidents confirmés impliquant des travailleurs de la chaîne de valeur, des communautés affectées, des consommateurs et des utilisateurs finaux ?</v>
      </c>
      <c r="D193" s="734"/>
      <c r="E193" s="734"/>
      <c r="F193" s="734"/>
      <c r="G193" s="734"/>
      <c r="H193" s="1082"/>
      <c r="I193" s="15" t="str">
        <f>IF(
'Table of Contents &amp; Validation'!D61=TRUE,
IF(AND('General Information'!$E$125="Option B (Basic Module and Comprehensive Module)",D193&lt;&gt;""), template_label_ok,
IF(AND('General Information'!$E$125="Option B (Basic Module and Comprehensive Module)",D193=""), "",
IF(AND('General Information'!$E$125="Option A (Basic Module only)",D193&lt;&gt;""), template_label_ok, ""))),
IF(AND('General Information'!$E$125="Option B (Basic Module and Comprehensive Module)",D193&lt;&gt;""), template_label_ok,
IF(AND('General Information'!$E$125="Option B (Basic Module and Comprehensive Module)",D193=""), template_label_missing_value,
IF(AND('General Information'!$E$125="Option A (Basic Module only)",D193&lt;&gt;""), template_label_ok, "")))
)</f>
        <v/>
      </c>
    </row>
    <row r="194" spans="1:9" ht="29.4" thickBot="1" x14ac:dyDescent="0.35">
      <c r="A194" s="381" t="s">
        <v>75</v>
      </c>
      <c r="B194" s="382">
        <v>174</v>
      </c>
      <c r="C194" s="375" t="str">
        <f>template_label_specification_of_any_confirmed_incident_involving_workers</f>
        <v>Spécification de tout incident confirmé impliquant des travailleurs de la chaîne de valeur, des communautés affectées, des consommateurs et des utilisateurs finaux</v>
      </c>
      <c r="D194" s="1083"/>
      <c r="E194" s="1083"/>
      <c r="F194" s="1083"/>
      <c r="G194" s="1083"/>
      <c r="H194" s="1084"/>
      <c r="I194" s="15" t="str">
        <f>IF(AND(D193="YES",D194&lt;&gt;""), template_label_ok,
IF(AND(D193="YES",D194=""), template_label_missing_value,
IF(AND(D193="NO",D194&lt;&gt;""), template_label_missing_value, "")))</f>
        <v/>
      </c>
    </row>
    <row r="197" spans="1:9" ht="15" thickBot="1" x14ac:dyDescent="0.35"/>
    <row r="198" spans="1:9" ht="15" thickBot="1" x14ac:dyDescent="0.35">
      <c r="C198" s="852" t="str">
        <f>template_label_disclosure_of_any_other_social_and_or_entity_specific_social_disclosures&amp;" "&amp;template_label_from&amp;" "&amp;template_starting_date_display&amp;" "&amp;template_label_to&amp;" "&amp;template_ending_date_display&amp;" " &amp; template_label_may</f>
        <v>Publication de toute autre information sociale et/ ou spécifique à l'entité du - au - [peut (facultatif)]</v>
      </c>
      <c r="D198" s="853"/>
      <c r="E198" s="853"/>
      <c r="F198" s="853"/>
      <c r="G198" s="853"/>
      <c r="H198" s="854"/>
    </row>
    <row r="199" spans="1:9" x14ac:dyDescent="0.3">
      <c r="C199" s="636">
        <v>10</v>
      </c>
      <c r="D199" s="783"/>
      <c r="E199" s="783"/>
      <c r="F199" s="783"/>
      <c r="G199" s="783"/>
      <c r="H199" s="784"/>
    </row>
    <row r="200" spans="1:9" ht="15" thickBot="1" x14ac:dyDescent="0.35">
      <c r="C200" s="848"/>
      <c r="D200" s="666"/>
      <c r="E200" s="666"/>
      <c r="F200" s="666"/>
      <c r="G200" s="666"/>
      <c r="H200" s="667"/>
      <c r="I200" s="15" t="str">
        <f>IF(C200&lt;&gt;"", template_label_ok, "")</f>
        <v/>
      </c>
    </row>
  </sheetData>
  <sheetProtection algorithmName="SHA-512" hashValue="25D0x/rzhtayxiZ0pgC5uewcWJ4+S1DlVj9gG8zmYeDkZoaj0HPaLAwG1keF9XEwndHPBpEddpd2EeQnLoQSkw==" saltValue="TTG4EyU5W5Z/p/kQ9TnQNA==" spinCount="100000" sheet="1" formatColumns="0" formatRows="0" insertRows="0"/>
  <mergeCells count="301">
    <mergeCell ref="A183:B183"/>
    <mergeCell ref="D192:H192"/>
    <mergeCell ref="D193:H193"/>
    <mergeCell ref="D194:H194"/>
    <mergeCell ref="C198:H198"/>
    <mergeCell ref="C199:H199"/>
    <mergeCell ref="C200:H200"/>
    <mergeCell ref="I186:I190"/>
    <mergeCell ref="D187:H187"/>
    <mergeCell ref="D188:H188"/>
    <mergeCell ref="D189:H189"/>
    <mergeCell ref="D190:H190"/>
    <mergeCell ref="D191:H191"/>
    <mergeCell ref="D180:H180"/>
    <mergeCell ref="D181:H181"/>
    <mergeCell ref="C183:H183"/>
    <mergeCell ref="D184:H184"/>
    <mergeCell ref="D185:H185"/>
    <mergeCell ref="D186:H186"/>
    <mergeCell ref="I174:I179"/>
    <mergeCell ref="D175:H175"/>
    <mergeCell ref="D176:H176"/>
    <mergeCell ref="D177:H177"/>
    <mergeCell ref="D178:H178"/>
    <mergeCell ref="D179:H179"/>
    <mergeCell ref="D168:H168"/>
    <mergeCell ref="D169:H169"/>
    <mergeCell ref="C171:H171"/>
    <mergeCell ref="D172:H172"/>
    <mergeCell ref="D173:H173"/>
    <mergeCell ref="D174:H174"/>
    <mergeCell ref="C161:H161"/>
    <mergeCell ref="C162:H162"/>
    <mergeCell ref="C164:H164"/>
    <mergeCell ref="D165:H165"/>
    <mergeCell ref="D166:H166"/>
    <mergeCell ref="D167:H167"/>
    <mergeCell ref="D156:H156"/>
    <mergeCell ref="D157:H157"/>
    <mergeCell ref="I157:I160"/>
    <mergeCell ref="D158:H158"/>
    <mergeCell ref="D159:H159"/>
    <mergeCell ref="D160:H160"/>
    <mergeCell ref="A151:A152"/>
    <mergeCell ref="B151:B152"/>
    <mergeCell ref="D151:H151"/>
    <mergeCell ref="D152:H152"/>
    <mergeCell ref="C154:H154"/>
    <mergeCell ref="C155:H155"/>
    <mergeCell ref="D144:H144"/>
    <mergeCell ref="C146:H146"/>
    <mergeCell ref="D147:H147"/>
    <mergeCell ref="D148:H148"/>
    <mergeCell ref="D149:H149"/>
    <mergeCell ref="D150:H150"/>
    <mergeCell ref="C139:H139"/>
    <mergeCell ref="D140:H140"/>
    <mergeCell ref="D141:H141"/>
    <mergeCell ref="D142:H142"/>
    <mergeCell ref="D143:H143"/>
    <mergeCell ref="C133:H133"/>
    <mergeCell ref="D134:H134"/>
    <mergeCell ref="D135:H135"/>
    <mergeCell ref="D136:H136"/>
    <mergeCell ref="D137:H137"/>
    <mergeCell ref="C128:D128"/>
    <mergeCell ref="E128:H128"/>
    <mergeCell ref="C129:D129"/>
    <mergeCell ref="E129:H129"/>
    <mergeCell ref="C131:H131"/>
    <mergeCell ref="C132:H132"/>
    <mergeCell ref="C35:D35"/>
    <mergeCell ref="E35:H35"/>
    <mergeCell ref="C36:D36"/>
    <mergeCell ref="E36:H36"/>
    <mergeCell ref="C37:D37"/>
    <mergeCell ref="E37:H37"/>
    <mergeCell ref="C32:D32"/>
    <mergeCell ref="E32:H32"/>
    <mergeCell ref="C33:D33"/>
    <mergeCell ref="E33:H33"/>
    <mergeCell ref="C34:D34"/>
    <mergeCell ref="E34:H34"/>
    <mergeCell ref="C30:D30"/>
    <mergeCell ref="E30:H30"/>
    <mergeCell ref="C31:D31"/>
    <mergeCell ref="E31:H31"/>
    <mergeCell ref="D22:G22"/>
    <mergeCell ref="C24:H24"/>
    <mergeCell ref="C25:H25"/>
    <mergeCell ref="C26:H26"/>
    <mergeCell ref="C28:D28"/>
    <mergeCell ref="E28:H28"/>
    <mergeCell ref="C27:D27"/>
    <mergeCell ref="E27:H27"/>
    <mergeCell ref="I18:M21"/>
    <mergeCell ref="J29:V30"/>
    <mergeCell ref="C2:E2"/>
    <mergeCell ref="F2:H2"/>
    <mergeCell ref="C3:E3"/>
    <mergeCell ref="F3:H3"/>
    <mergeCell ref="C6:G6"/>
    <mergeCell ref="C7:G7"/>
    <mergeCell ref="C15:G15"/>
    <mergeCell ref="C16:G16"/>
    <mergeCell ref="D17:G17"/>
    <mergeCell ref="D18:G18"/>
    <mergeCell ref="H18:H21"/>
    <mergeCell ref="D19:G19"/>
    <mergeCell ref="D20:G20"/>
    <mergeCell ref="D21:G21"/>
    <mergeCell ref="C8:G8"/>
    <mergeCell ref="D9:G9"/>
    <mergeCell ref="D10:G10"/>
    <mergeCell ref="D11:G11"/>
    <mergeCell ref="D12:G12"/>
    <mergeCell ref="C14:G14"/>
    <mergeCell ref="C29:D29"/>
    <mergeCell ref="E29:H29"/>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E38:H38"/>
    <mergeCell ref="E39:H39"/>
    <mergeCell ref="E40:H40"/>
    <mergeCell ref="E41:H41"/>
    <mergeCell ref="E42:H42"/>
    <mergeCell ref="E43:H43"/>
    <mergeCell ref="E44:H44"/>
    <mergeCell ref="E45:H45"/>
    <mergeCell ref="E46:H46"/>
    <mergeCell ref="E47:H47"/>
    <mergeCell ref="E48:H48"/>
    <mergeCell ref="E49:H49"/>
    <mergeCell ref="E50:H50"/>
    <mergeCell ref="E51:H51"/>
    <mergeCell ref="E52:H52"/>
    <mergeCell ref="E53:H53"/>
    <mergeCell ref="E54:H54"/>
    <mergeCell ref="E55:H55"/>
    <mergeCell ref="E56:H56"/>
    <mergeCell ref="E57:H57"/>
    <mergeCell ref="E58:H58"/>
    <mergeCell ref="E59:H59"/>
    <mergeCell ref="E60:H60"/>
    <mergeCell ref="E61:H61"/>
    <mergeCell ref="E62:H62"/>
    <mergeCell ref="E63:H63"/>
    <mergeCell ref="E64:H64"/>
    <mergeCell ref="E65:H65"/>
    <mergeCell ref="E66:H66"/>
    <mergeCell ref="E67:H67"/>
    <mergeCell ref="E68:H68"/>
    <mergeCell ref="E69:H69"/>
    <mergeCell ref="E70:H70"/>
    <mergeCell ref="E71:H71"/>
    <mergeCell ref="E72:H72"/>
    <mergeCell ref="E73:H73"/>
    <mergeCell ref="E74:H74"/>
    <mergeCell ref="E75:H75"/>
    <mergeCell ref="E76:H76"/>
    <mergeCell ref="E77:H77"/>
    <mergeCell ref="E78:H78"/>
    <mergeCell ref="E79:H79"/>
    <mergeCell ref="E80:H80"/>
    <mergeCell ref="E81:H81"/>
    <mergeCell ref="E82:H82"/>
    <mergeCell ref="E98:H98"/>
    <mergeCell ref="E99:H99"/>
    <mergeCell ref="E100:H100"/>
    <mergeCell ref="E83:H83"/>
    <mergeCell ref="E84:H84"/>
    <mergeCell ref="E85:H85"/>
    <mergeCell ref="E86:H86"/>
    <mergeCell ref="E87:H87"/>
    <mergeCell ref="E88:H88"/>
    <mergeCell ref="E89:H89"/>
    <mergeCell ref="E90:H90"/>
    <mergeCell ref="E91:H91"/>
    <mergeCell ref="E126:H126"/>
    <mergeCell ref="E127:H127"/>
    <mergeCell ref="E110:H110"/>
    <mergeCell ref="E111:H111"/>
    <mergeCell ref="E112:H112"/>
    <mergeCell ref="E113:H113"/>
    <mergeCell ref="E114:H114"/>
    <mergeCell ref="E115:H115"/>
    <mergeCell ref="E116:H116"/>
    <mergeCell ref="E117:H117"/>
    <mergeCell ref="E118:H118"/>
    <mergeCell ref="C4:E4"/>
    <mergeCell ref="F4:H4"/>
    <mergeCell ref="E119:H119"/>
    <mergeCell ref="E120:H120"/>
    <mergeCell ref="E121:H121"/>
    <mergeCell ref="E122:H122"/>
    <mergeCell ref="E123:H123"/>
    <mergeCell ref="E124:H124"/>
    <mergeCell ref="E125:H125"/>
    <mergeCell ref="E101:H101"/>
    <mergeCell ref="E102:H102"/>
    <mergeCell ref="E103:H103"/>
    <mergeCell ref="E104:H104"/>
    <mergeCell ref="E105:H105"/>
    <mergeCell ref="E106:H106"/>
    <mergeCell ref="E107:H107"/>
    <mergeCell ref="E108:H108"/>
    <mergeCell ref="E109:H109"/>
    <mergeCell ref="E92:H92"/>
    <mergeCell ref="E93:H93"/>
    <mergeCell ref="E94:H94"/>
    <mergeCell ref="E95:H95"/>
    <mergeCell ref="E96:H96"/>
    <mergeCell ref="E97:H97"/>
  </mergeCells>
  <phoneticPr fontId="3" type="noConversion"/>
  <conditionalFormatting sqref="C134:H136">
    <cfRule type="expression" dxfId="173" priority="57">
      <formula>$D$12&gt;50</formula>
    </cfRule>
  </conditionalFormatting>
  <conditionalFormatting sqref="C148:H149">
    <cfRule type="expression" dxfId="172" priority="44">
      <formula>$D$12&gt;150</formula>
    </cfRule>
  </conditionalFormatting>
  <conditionalFormatting sqref="C165:H166">
    <cfRule type="expression" dxfId="171" priority="37">
      <formula>$D$12&gt;50</formula>
    </cfRule>
  </conditionalFormatting>
  <conditionalFormatting sqref="D180">
    <cfRule type="expression" dxfId="170" priority="29">
      <formula>$D$179=TRUE</formula>
    </cfRule>
  </conditionalFormatting>
  <conditionalFormatting sqref="D191:D192">
    <cfRule type="expression" dxfId="169" priority="18">
      <formula>$D$190=TRUE</formula>
    </cfRule>
  </conditionalFormatting>
  <conditionalFormatting sqref="D194">
    <cfRule type="expression" dxfId="168" priority="17">
      <formula>$D$193="YES"</formula>
    </cfRule>
  </conditionalFormatting>
  <conditionalFormatting sqref="D168:H169">
    <cfRule type="expression" dxfId="167" priority="36">
      <formula>$D$12&gt;50</formula>
    </cfRule>
  </conditionalFormatting>
  <conditionalFormatting sqref="D174:H179">
    <cfRule type="expression" dxfId="166" priority="35">
      <formula>$F$4="Option A (Basic Module only)"</formula>
    </cfRule>
    <cfRule type="expression" dxfId="165" priority="34">
      <formula>$D$172="YES"</formula>
    </cfRule>
  </conditionalFormatting>
  <conditionalFormatting sqref="D186:H190">
    <cfRule type="expression" dxfId="164" priority="23">
      <formula>$D$184="YES"</formula>
    </cfRule>
    <cfRule type="expression" dxfId="163" priority="24">
      <formula>$F$4="Option A (Basic Module only)"</formula>
    </cfRule>
  </conditionalFormatting>
  <conditionalFormatting sqref="D192:H192">
    <cfRule type="expression" dxfId="162" priority="10">
      <formula>$D$184="YES"</formula>
    </cfRule>
  </conditionalFormatting>
  <conditionalFormatting sqref="E29:H29">
    <cfRule type="expression" dxfId="161" priority="2">
      <formula>$E$27=TRUE</formula>
    </cfRule>
  </conditionalFormatting>
  <conditionalFormatting sqref="E29:H128">
    <cfRule type="expression" dxfId="160" priority="60">
      <formula>$C29&lt;&gt;""</formula>
    </cfRule>
  </conditionalFormatting>
  <conditionalFormatting sqref="E30:H128">
    <cfRule type="expression" dxfId="159" priority="61">
      <formula>$D30=""</formula>
    </cfRule>
  </conditionalFormatting>
  <conditionalFormatting sqref="H10:H11">
    <cfRule type="expression" dxfId="158" priority="71">
      <formula>$H10=template_label_missing_value</formula>
    </cfRule>
    <cfRule type="expression" dxfId="157" priority="72">
      <formula>$H10=template_label_ok</formula>
    </cfRule>
  </conditionalFormatting>
  <conditionalFormatting sqref="H12">
    <cfRule type="expression" dxfId="156" priority="74">
      <formula>$H$12="VALUE INCONSISTENCY"</formula>
    </cfRule>
    <cfRule type="expression" dxfId="155" priority="73">
      <formula>$H$12="OK"</formula>
    </cfRule>
  </conditionalFormatting>
  <conditionalFormatting sqref="H18:H21">
    <cfRule type="expression" dxfId="154" priority="1">
      <formula>$H$18=template_label_value_inconsistency</formula>
    </cfRule>
    <cfRule type="expression" dxfId="153" priority="66">
      <formula>$H$18=template_label_missing_value</formula>
    </cfRule>
    <cfRule type="expression" dxfId="152" priority="67">
      <formula>$H$18=template_label_ok</formula>
    </cfRule>
  </conditionalFormatting>
  <conditionalFormatting sqref="H22">
    <cfRule type="expression" dxfId="151" priority="68">
      <formula>$H$22="VALUE INCONSISTENCY"</formula>
    </cfRule>
    <cfRule type="expression" dxfId="150" priority="69">
      <formula>$H$22="MISSING VALUE"</formula>
    </cfRule>
    <cfRule type="expression" dxfId="149" priority="70">
      <formula>$H$22="OK"</formula>
    </cfRule>
  </conditionalFormatting>
  <conditionalFormatting sqref="I29:I128">
    <cfRule type="expression" dxfId="148" priority="5">
      <formula>$I29=template_label_value_inconsistency</formula>
    </cfRule>
    <cfRule type="expression" dxfId="147" priority="65">
      <formula>$I29=template_label_missing_value</formula>
    </cfRule>
    <cfRule type="expression" dxfId="146" priority="64">
      <formula>$I29=template_label_ok</formula>
    </cfRule>
  </conditionalFormatting>
  <conditionalFormatting sqref="I129">
    <cfRule type="expression" dxfId="145" priority="62">
      <formula>$I$129="OK"</formula>
    </cfRule>
    <cfRule type="expression" dxfId="144" priority="63">
      <formula>$I$129="VALUE INCONSISTENCY"</formula>
    </cfRule>
  </conditionalFormatting>
  <conditionalFormatting sqref="I134:I136">
    <cfRule type="expression" dxfId="143" priority="59">
      <formula>$I134=template_label_ok</formula>
    </cfRule>
    <cfRule type="expression" dxfId="142" priority="58">
      <formula>$I134=template_label_missing_value</formula>
    </cfRule>
  </conditionalFormatting>
  <conditionalFormatting sqref="I140:I141">
    <cfRule type="expression" dxfId="141" priority="56">
      <formula>$I140=template_label_ok</formula>
    </cfRule>
    <cfRule type="expression" dxfId="140" priority="55">
      <formula>$I140=template_label_missing_value</formula>
    </cfRule>
  </conditionalFormatting>
  <conditionalFormatting sqref="I142">
    <cfRule type="expression" dxfId="139" priority="52">
      <formula>$I$142="MISSING VALUE"</formula>
    </cfRule>
    <cfRule type="expression" dxfId="138" priority="51">
      <formula>$I$142="OK"</formula>
    </cfRule>
  </conditionalFormatting>
  <conditionalFormatting sqref="I144">
    <cfRule type="expression" dxfId="137" priority="53">
      <formula>$I$144=template_label_missing_value</formula>
    </cfRule>
    <cfRule type="expression" dxfId="136" priority="54">
      <formula>$I$144=template_label_ok</formula>
    </cfRule>
  </conditionalFormatting>
  <conditionalFormatting sqref="I147">
    <cfRule type="expression" dxfId="135" priority="46">
      <formula>$I$147=template_label_ok</formula>
    </cfRule>
    <cfRule type="expression" dxfId="134" priority="45">
      <formula>$I$147=template_label_missing_value</formula>
    </cfRule>
  </conditionalFormatting>
  <conditionalFormatting sqref="I148:I149">
    <cfRule type="expression" dxfId="133" priority="50">
      <formula>$I148=template_label_missing_value</formula>
    </cfRule>
    <cfRule type="expression" dxfId="132" priority="49">
      <formula>$I148=template_label_ok</formula>
    </cfRule>
  </conditionalFormatting>
  <conditionalFormatting sqref="I151">
    <cfRule type="expression" dxfId="131" priority="47">
      <formula>$I$151=template_label_ok</formula>
    </cfRule>
    <cfRule type="expression" dxfId="130" priority="48">
      <formula>$I$151=template_label_missing_value</formula>
    </cfRule>
  </conditionalFormatting>
  <conditionalFormatting sqref="I156:I157 I161">
    <cfRule type="expression" dxfId="129" priority="43">
      <formula>$I156=template_label_missing_value</formula>
    </cfRule>
    <cfRule type="expression" dxfId="128" priority="42">
      <formula>$I156=template_label_ok</formula>
    </cfRule>
  </conditionalFormatting>
  <conditionalFormatting sqref="I165">
    <cfRule type="expression" dxfId="127" priority="41">
      <formula>$I$165=template_label_ok</formula>
    </cfRule>
  </conditionalFormatting>
  <conditionalFormatting sqref="I166">
    <cfRule type="expression" dxfId="126" priority="40">
      <formula>$I$166=template_label_ok</formula>
    </cfRule>
  </conditionalFormatting>
  <conditionalFormatting sqref="I168">
    <cfRule type="expression" dxfId="125" priority="39">
      <formula>$I$168=template_label_ok</formula>
    </cfRule>
  </conditionalFormatting>
  <conditionalFormatting sqref="I169">
    <cfRule type="expression" dxfId="124" priority="38">
      <formula>$I$169=template_label_ok</formula>
    </cfRule>
  </conditionalFormatting>
  <conditionalFormatting sqref="I172">
    <cfRule type="expression" dxfId="123" priority="31">
      <formula>$I$172=template_label_ok</formula>
    </cfRule>
    <cfRule type="expression" dxfId="122" priority="30">
      <formula>$I$172=template_label_missing_value</formula>
    </cfRule>
  </conditionalFormatting>
  <conditionalFormatting sqref="I174:I179">
    <cfRule type="expression" dxfId="121" priority="7">
      <formula>$I$174=template_label_value_inconsistency</formula>
    </cfRule>
    <cfRule type="expression" dxfId="120" priority="26">
      <formula>$I$174=template_label_ok</formula>
    </cfRule>
    <cfRule type="expression" dxfId="119" priority="25">
      <formula>$I$174=template_label_missing_value</formula>
    </cfRule>
  </conditionalFormatting>
  <conditionalFormatting sqref="I180">
    <cfRule type="expression" dxfId="118" priority="33">
      <formula>$I$180=template_label_missing_value</formula>
    </cfRule>
    <cfRule type="expression" dxfId="117" priority="32">
      <formula>$I$180=template_label_ok</formula>
    </cfRule>
  </conditionalFormatting>
  <conditionalFormatting sqref="I181">
    <cfRule type="expression" dxfId="116" priority="28">
      <formula>$I$181=template_label_ok</formula>
    </cfRule>
    <cfRule type="expression" dxfId="115" priority="27">
      <formula>$I$181=template_label_missing_value</formula>
    </cfRule>
  </conditionalFormatting>
  <conditionalFormatting sqref="I184">
    <cfRule type="expression" dxfId="114" priority="16">
      <formula>$I$184=template_label_missing_value</formula>
    </cfRule>
    <cfRule type="expression" dxfId="113" priority="15">
      <formula>$I$184=template_label_ok</formula>
    </cfRule>
  </conditionalFormatting>
  <conditionalFormatting sqref="I186:I190">
    <cfRule type="expression" dxfId="112" priority="14">
      <formula>$I$186=template_label_missing_value</formula>
    </cfRule>
    <cfRule type="expression" dxfId="111" priority="13">
      <formula>$I$186=template_label_ok</formula>
    </cfRule>
    <cfRule type="expression" dxfId="110" priority="6">
      <formula>$I$186=template_label_value_inconsistency</formula>
    </cfRule>
  </conditionalFormatting>
  <conditionalFormatting sqref="I191">
    <cfRule type="expression" dxfId="109" priority="21">
      <formula>$I$191=template_label_ok</formula>
    </cfRule>
    <cfRule type="expression" dxfId="108" priority="22">
      <formula>$I$191=template_label_missing_value</formula>
    </cfRule>
  </conditionalFormatting>
  <conditionalFormatting sqref="I192">
    <cfRule type="expression" dxfId="107" priority="9">
      <formula>$I$192=template_label_ok</formula>
    </cfRule>
  </conditionalFormatting>
  <conditionalFormatting sqref="I193">
    <cfRule type="expression" dxfId="106" priority="11">
      <formula>$I$193=template_label_missing_value</formula>
    </cfRule>
    <cfRule type="expression" dxfId="105" priority="12">
      <formula>$I$193=template_label_ok</formula>
    </cfRule>
  </conditionalFormatting>
  <conditionalFormatting sqref="I194">
    <cfRule type="expression" dxfId="104" priority="19">
      <formula>$I$194=template_label_missing_value</formula>
    </cfRule>
    <cfRule type="expression" dxfId="103" priority="20">
      <formula>$I$194=template_label_ok</formula>
    </cfRule>
  </conditionalFormatting>
  <conditionalFormatting sqref="I200">
    <cfRule type="expression" dxfId="102" priority="8">
      <formula>$I$200=template_label_ok</formula>
    </cfRule>
  </conditionalFormatting>
  <dataValidations xWindow="1283" yWindow="371" count="19">
    <dataValidation type="custom" operator="lessThanOrEqual" allowBlank="1" showInputMessage="1" showErrorMessage="1" sqref="D10:G10" xr:uid="{4147C851-5848-48C0-9748-2C4E5B7D1C6C}">
      <formula1>IF(D12="-", 0, D12) &gt;= D10</formula1>
    </dataValidation>
    <dataValidation type="custom" operator="equal" showInputMessage="1" showErrorMessage="1" sqref="D20:G20" xr:uid="{E788FE82-113F-47AC-8507-31EF1A0A60C7}">
      <formula1>IF(D22="-", 0, D22)&gt;=D18+D19+D20+D21</formula1>
    </dataValidation>
    <dataValidation type="custom" operator="equal" showInputMessage="1" showErrorMessage="1" sqref="D19:G19" xr:uid="{D60876FE-60D6-40E2-9AC8-635C8823760F}">
      <formula1>IF(D22="-", 0, D22)&gt;=D18+D19+D20+D21</formula1>
    </dataValidation>
    <dataValidation type="custom" operator="equal" showInputMessage="1" showErrorMessage="1" sqref="D18:G18" xr:uid="{05C61CF1-5102-453C-AA36-8D10D01B3AC6}">
      <formula1>IF(D22="-", 0, D22)&gt;=D18+D19+D20+D21</formula1>
    </dataValidation>
    <dataValidation type="custom" operator="equal" showInputMessage="1" showErrorMessage="1" sqref="D21:G21" xr:uid="{C90CEA17-46DC-40CA-9DB3-6FFF3E78EDF8}">
      <formula1>IF(D22="-", 0, D22)&gt;=D18+D19+D20+D21</formula1>
    </dataValidation>
    <dataValidation type="custom" showInputMessage="1" showErrorMessage="1" sqref="D137:H137" xr:uid="{31822F3B-CBAF-498B-96BC-9F4B7C9FA836}">
      <formula1>IF(AND(D134&lt;&gt;"",D135&lt;&gt;"",D136&lt;&gt;""),(D134/((D135+D136)/2)),"-")</formula1>
    </dataValidation>
    <dataValidation allowBlank="1" showInputMessage="1" showErrorMessage="1" promptTitle="Employee turnover rate [%]" prompt="(number of employees who left during the reporting year / average number of employees during the reporting year) * 100" sqref="C137" xr:uid="{182F3A13-D482-455E-A41D-A7B885BF1147}"/>
    <dataValidation type="decimal" operator="equal" allowBlank="1" showInputMessage="1" showErrorMessage="1" sqref="D165:H166 D168:H169 D148:H149 D157:H160 D134:H135 D140:H142 D144:H144" xr:uid="{8675EF2D-EB6A-47BC-BA53-E3A025512A6A}">
      <formula1>D134</formula1>
    </dataValidation>
    <dataValidation allowBlank="1" showInputMessage="1" showErrorMessage="1" promptTitle="Rate of work-related accidents" prompt="(number of recordable work-related accidents in the reporting year / total number of hours worked in a year by all employees) * 200000" sqref="C143" xr:uid="{28EF91E1-2FA3-4B12-B20D-BA4B7E1DF87A}"/>
    <dataValidation allowBlank="1" showInputMessage="1" showErrorMessage="1" promptTitle="Rate of covered employees [%]" prompt="(number of employees covered by collective bargaining agreements / total number of employees) * 100" sqref="C152" xr:uid="{CC67BD25-2352-4334-833C-CFE16D252FD6}"/>
    <dataValidation allowBlank="1" showInputMessage="1" showErrorMessage="1" promptTitle="Percentage gap in pay  [%]" prompt="((average gross hourly pay level of male employees - average gross hourly pay level of female employees) / average gross hourly pay level of male employeees) * 100" sqref="C150" xr:uid="{B827D9EB-8466-49A8-9946-89C305A6C82A}"/>
    <dataValidation type="list" allowBlank="1" showInputMessage="1" showErrorMessage="1" sqref="D147:H147 D172:H172 D181:H181 D193:H193 D184:H184" xr:uid="{A8CAC87D-06B2-434E-9F65-3A41C843B5CD}">
      <formula1>enum_ListYesNo</formula1>
    </dataValidation>
    <dataValidation allowBlank="1" showInputMessage="1" showErrorMessage="1" promptTitle="Management female-to-male ratio" prompt="number of female employees at management level / number of male employees at management level" sqref="C167" xr:uid="{0382C43B-6B15-4C96-B230-1F6DEFF355C6}"/>
    <dataValidation type="custom" showInputMessage="1" showErrorMessage="1" sqref="D167:H167" xr:uid="{202E8B87-D65E-4D4D-8C19-362F4AC993F3}">
      <formula1>IF(AND(D165&lt;&gt;"",D166&lt;&gt;""),$D$166/$D$165,"-")</formula1>
    </dataValidation>
    <dataValidation type="custom" showInputMessage="1" showErrorMessage="1" sqref="D174:H174 D178:H179 D186:H189 E27 I27" xr:uid="{6B787025-4F5D-4CA7-A900-ED7D6B50CC1F}">
      <formula1>OR(D27=TRUE,D27=FALSE)</formula1>
    </dataValidation>
    <dataValidation type="custom" showInputMessage="1" showErrorMessage="1" sqref="D175:H177 D190:H190" xr:uid="{57A047BE-D7FD-4862-9330-3E0747FA4DCC}">
      <formula1>OR(D175=FALSE,D175=TRUE)</formula1>
    </dataValidation>
    <dataValidation type="list" allowBlank="1" showInputMessage="1" showErrorMessage="1" sqref="C29:D128" xr:uid="{1A63D793-CD26-4CCE-A8F9-F963E57269F8}">
      <formula1>enum_ListCountriesName</formula1>
    </dataValidation>
    <dataValidation type="custom" showInputMessage="1" showErrorMessage="1" sqref="E29:H128" xr:uid="{159F7790-D5E7-481E-851D-34FCA66A69A1}">
      <formula1>IF($E$129="-",0,$E$129)&gt;=SUM($E$29:$E$128)</formula1>
    </dataValidation>
    <dataValidation type="decimal" operator="equal" allowBlank="1" showInputMessage="1" showErrorMessage="1" promptTitle="200,000 hours worked" prompt="A rate based on 200,000 hours worked defines the number of recordable work-related accidents per 100 full-time workers, under the assumption that one full-time worker works 2,000 hours per year" sqref="D143:H143" xr:uid="{4F4DA7A2-99E2-4CB1-925B-B8636023C76A}">
      <formula1>D143</formula1>
    </dataValidation>
  </dataValidations>
  <hyperlinks>
    <hyperlink ref="C7:G7" r:id="rId1" display="39(a)" xr:uid="{CD9F84FC-ACA1-4091-B992-39B70837E5EC}"/>
    <hyperlink ref="C8:G8" r:id="rId2" display="110-117" xr:uid="{A493744B-D48F-437C-822E-1C3A6EAACAB5}"/>
    <hyperlink ref="C15:G15" r:id="rId3" display="39(b)" xr:uid="{B953544B-C114-45EA-A606-BC5B8B138C22}"/>
    <hyperlink ref="C16:G16" r:id="rId4" display="110-117" xr:uid="{5B0B4AAC-7DB5-4274-B636-ACDE8F44D3B8}"/>
    <hyperlink ref="C25:H25" r:id="rId5" display="39(c)" xr:uid="{C8B78908-BF50-4B65-9003-937BE92AC09D}"/>
    <hyperlink ref="C26:H26" r:id="rId6" display="110-117" xr:uid="{4B9CEEEA-A30C-4444-954D-3BC451800F88}"/>
    <hyperlink ref="C132:H132" r:id="rId7" display="https://knowledgehub.efrag.org/eng/interactive/vsme/vsme-standard-annex-i/2025-07-30-ec-rec/40" xr:uid="{FD4C9B6F-046D-4541-8A19-ECD3A7CDBC0D}"/>
    <hyperlink ref="C133:H133" r:id="rId8" display="https://knowledgehub.efrag.org/eng/interactive/vsme/vsme-guidance-annex-ii/2025-07-30-ec-rec/118" xr:uid="{A7D9E2F8-848A-4E6C-8384-D181AF42A6C1}"/>
    <hyperlink ref="A140" r:id="rId9" xr:uid="{8E1A5ADB-AF53-4384-A62A-C9E6FE069714}"/>
    <hyperlink ref="A141" r:id="rId10" xr:uid="{1AB40284-57B8-4206-982B-A6CC289DCC77}"/>
    <hyperlink ref="A142" r:id="rId11" xr:uid="{9CCF013D-B4F1-47D7-963D-C833D9624FC5}"/>
    <hyperlink ref="A143" r:id="rId12" xr:uid="{8EFC0B8E-039A-46A2-9F46-D8E8B87B4F51}"/>
    <hyperlink ref="A144" r:id="rId13" xr:uid="{F03CA4A4-AC7F-4F07-903F-C75F220F7BB2}"/>
    <hyperlink ref="B140" r:id="rId14" xr:uid="{9CED5EC8-CE6A-42BE-80D1-D7BF0CEFF972}"/>
    <hyperlink ref="B141" r:id="rId15" xr:uid="{3757C89C-383E-4448-89D4-360C9D38534D}"/>
    <hyperlink ref="B142" r:id="rId16" xr:uid="{FCB2A57F-78F9-4F37-82A7-D8793D4F725B}"/>
    <hyperlink ref="B143" r:id="rId17" xr:uid="{83C02AC9-DC40-44B4-B56F-5A2761181B8A}"/>
    <hyperlink ref="B144" r:id="rId18" xr:uid="{3AB7789A-73A8-4C3E-8C89-F6298417FE10}"/>
    <hyperlink ref="A147" r:id="rId19" xr:uid="{3188E279-C90A-4F17-B627-9FF4BB006A8C}"/>
    <hyperlink ref="A148" r:id="rId20" xr:uid="{6F16E1E0-BC89-45A6-B5F4-9615AD47E230}"/>
    <hyperlink ref="A149" r:id="rId21" xr:uid="{F1D7F8B6-7298-49A5-ADCB-A92A39511330}"/>
    <hyperlink ref="A150" r:id="rId22" xr:uid="{6DF9FD68-07EC-4F98-9B1A-B74322E3B1D7}"/>
    <hyperlink ref="A151:A152" r:id="rId23" display="42(c)" xr:uid="{0C874EB2-9644-478E-A773-047755853BB9}"/>
    <hyperlink ref="B147" r:id="rId24" xr:uid="{7E31C068-0E01-40C1-A8E0-897A3518A52A}"/>
    <hyperlink ref="B148" r:id="rId25" xr:uid="{44C318D3-B3D6-41B1-ACCF-60FB6F40105B}"/>
    <hyperlink ref="B149" r:id="rId26" xr:uid="{D3266D61-F088-4320-B222-9D9C7ABF81E4}"/>
    <hyperlink ref="B150" r:id="rId27" xr:uid="{5DAC535E-ECB8-4B00-B391-07A9A7D5FA0D}"/>
    <hyperlink ref="B151:B152" r:id="rId28" display="137-140" xr:uid="{3A910E89-7BFF-4BB9-9668-94B9ABB2D0B4}"/>
    <hyperlink ref="C155:H155" r:id="rId29" display="42(d)" xr:uid="{3241B182-B1A5-4947-8FD7-A5ED55687C8F}"/>
    <hyperlink ref="A165" r:id="rId30" display="https://knowledgehub.efrag.org/eng/interactive/vsme/vsme-standard-annex-i/2025-07-30-ec-rec/59" xr:uid="{10BFB29D-EC8B-4992-82AD-CC3831E1998E}"/>
    <hyperlink ref="A166" r:id="rId31" display="https://knowledgehub.efrag.org/eng/interactive/vsme/vsme-standard-annex-i/2025-07-30-ec-rec/59" xr:uid="{36BFCCF1-808B-4555-9E79-25B729E1701D}"/>
    <hyperlink ref="A167" r:id="rId32" display="https://knowledgehub.efrag.org/eng/interactive/vsme/vsme-standard-annex-i/2025-07-30-ec-rec/59" xr:uid="{A7A907FA-F78C-4D8B-9C0B-F6D0764C5ACC}"/>
    <hyperlink ref="A168" r:id="rId33" display="https://knowledgehub.efrag.org/eng/interactive/vsme/vsme-standard-annex-i/2025-07-30-ec-rec/60" xr:uid="{6CA484FA-A0CC-4638-AB97-83AF7D74A3A4}"/>
    <hyperlink ref="A169" r:id="rId34" display="https://knowledgehub.efrag.org/eng/interactive/vsme/vsme-standard-annex-i/2025-07-30-ec-rec/60" xr:uid="{170FED2C-9B6A-4A87-8C52-9A6D43472072}"/>
    <hyperlink ref="B165" r:id="rId35" xr:uid="{875A897B-2BF8-4DF8-89E2-19668C3B9A81}"/>
    <hyperlink ref="B166" r:id="rId36" xr:uid="{A07B642D-E53A-4044-B4B7-B5F861D5C0DA}"/>
    <hyperlink ref="B167" r:id="rId37" xr:uid="{82023F62-3997-45E6-A31E-63A9C816D09A}"/>
    <hyperlink ref="B168" r:id="rId38" xr:uid="{C09C8EF3-711E-404D-A567-05A5D415551D}"/>
    <hyperlink ref="B169" r:id="rId39" xr:uid="{D22D874A-D1BD-4A35-913F-0EACD672437E}"/>
    <hyperlink ref="A172" r:id="rId40" xr:uid="{C0F3D891-4EE3-4634-8BA6-19B7EB88647E}"/>
    <hyperlink ref="A173" r:id="rId41" xr:uid="{B52E826D-FC2A-484A-BB8C-6542DFDDE92B}"/>
    <hyperlink ref="A174" r:id="rId42" xr:uid="{284862E1-F5B3-43E1-B799-76D2C605B176}"/>
    <hyperlink ref="A175" r:id="rId43" xr:uid="{662E1678-7290-45B7-9682-435A95A78993}"/>
    <hyperlink ref="A176" r:id="rId44" xr:uid="{29EC10E0-10CB-4819-9C52-0FD305CA8AAE}"/>
    <hyperlink ref="A177" r:id="rId45" xr:uid="{9711D0AD-5ECA-400F-BEE3-C0C18A25ED4F}"/>
    <hyperlink ref="A178" r:id="rId46" xr:uid="{A4E1CF55-D38B-4498-B44E-6948E7189B8A}"/>
    <hyperlink ref="A179" r:id="rId47" xr:uid="{18BE0563-98B4-43AD-8656-0C60A1F9D48C}"/>
    <hyperlink ref="A180" r:id="rId48" xr:uid="{9DED8489-136E-4C99-A404-FEA1F22BD50C}"/>
    <hyperlink ref="A181" r:id="rId49" xr:uid="{8681AE7E-FCD9-4FDC-A653-EAC7EA9DE35C}"/>
    <hyperlink ref="B172" r:id="rId50" display="https://knowledgehub.efrag.org/eng/interactive/vsme/vsme-guidance-annex-ii/2025-07-30-ec-rec/173" xr:uid="{65111DEF-2E29-462E-AA78-3860FE0417D3}"/>
    <hyperlink ref="B173" r:id="rId51" display="https://knowledgehub.efrag.org/eng/interactive/vsme/vsme-guidance-annex-ii/2025-07-30-ec-rec/173" xr:uid="{3C3AFC45-AC2A-4C16-A24A-E46248627C1E}"/>
    <hyperlink ref="B174" r:id="rId52" display="https://knowledgehub.efrag.org/eng/interactive/vsme/vsme-guidance-annex-ii/2025-07-30-ec-rec/173" xr:uid="{586D8F6D-A326-423C-B49A-0712AE9B4F08}"/>
    <hyperlink ref="B175" r:id="rId53" display="https://knowledgehub.efrag.org/eng/interactive/vsme/vsme-guidance-annex-ii/2025-07-30-ec-rec/173" xr:uid="{8F75E456-7359-4F2B-ADF4-8AEAE6266665}"/>
    <hyperlink ref="B176" r:id="rId54" display="https://knowledgehub.efrag.org/eng/interactive/vsme/vsme-guidance-annex-ii/2025-07-30-ec-rec/173" xr:uid="{0D7320BC-D40E-402E-98DB-6502D5CCDC4F}"/>
    <hyperlink ref="B177" r:id="rId55" display="https://knowledgehub.efrag.org/eng/interactive/vsme/vsme-guidance-annex-ii/2025-07-30-ec-rec/173" xr:uid="{2A210658-0FAD-4BCF-9C69-F48C6F93DDC5}"/>
    <hyperlink ref="B178" r:id="rId56" display="https://knowledgehub.efrag.org/eng/interactive/vsme/vsme-guidance-annex-ii/2025-07-30-ec-rec/173" xr:uid="{D5E0C2ED-4D3A-497D-B8F9-DB7F976B0C96}"/>
    <hyperlink ref="B179" r:id="rId57" display="https://knowledgehub.efrag.org/eng/interactive/vsme/vsme-guidance-annex-ii/2025-07-30-ec-rec/173" xr:uid="{0E7E48D5-8390-4C85-9563-81230280B827}"/>
    <hyperlink ref="B180" r:id="rId58" display="https://knowledgehub.efrag.org/eng/interactive/vsme/vsme-guidance-annex-ii/2025-07-30-ec-rec/173" xr:uid="{4B4F3992-980A-4219-8401-D24ABC83B53D}"/>
    <hyperlink ref="B181" r:id="rId59" display="https://knowledgehub.efrag.org/eng/interactive/vsme/vsme-guidance-annex-ii/2025-07-30-ec-rec/173" xr:uid="{8C3CE4BF-83B5-4731-A697-D66C50238E24}"/>
    <hyperlink ref="B184" r:id="rId60" display="https://knowledgehub.efrag.org/eng/interactive/vsme/vsme-guidance-annex-ii/2025-07-30-ec-rec/174" xr:uid="{FF0F619F-B400-434F-AC0D-A3F1F7B81A44}"/>
    <hyperlink ref="B185" r:id="rId61" display="https://knowledgehub.efrag.org/eng/interactive/vsme/vsme-guidance-annex-ii/2025-07-30-ec-rec/174" xr:uid="{A669355B-75BB-4B11-A4AD-5F9CD3979CB6}"/>
    <hyperlink ref="B186" r:id="rId62" display="https://knowledgehub.efrag.org/eng/interactive/vsme/vsme-guidance-annex-ii/2025-07-30-ec-rec/174" xr:uid="{341F4C40-7423-4150-B6F3-F499D54D0F8F}"/>
    <hyperlink ref="B187" r:id="rId63" display="https://knowledgehub.efrag.org/eng/interactive/vsme/vsme-guidance-annex-ii/2025-07-30-ec-rec/174" xr:uid="{C9E66111-736E-41EC-92CD-9D2F4293F4F2}"/>
    <hyperlink ref="B188" r:id="rId64" display="https://knowledgehub.efrag.org/eng/interactive/vsme/vsme-guidance-annex-ii/2025-07-30-ec-rec/174" xr:uid="{45CA934B-2A53-4D0F-AB75-1729C2F5EFAA}"/>
    <hyperlink ref="B189" r:id="rId65" display="https://knowledgehub.efrag.org/eng/interactive/vsme/vsme-guidance-annex-ii/2025-07-30-ec-rec/174" xr:uid="{D94CCB32-3E3B-44F0-8763-6541B1B31C66}"/>
    <hyperlink ref="B190" r:id="rId66" display="https://knowledgehub.efrag.org/eng/interactive/vsme/vsme-guidance-annex-ii/2025-07-30-ec-rec/174" xr:uid="{6016D549-A78E-4725-AF07-913913E97A12}"/>
    <hyperlink ref="B191" r:id="rId67" display="https://knowledgehub.efrag.org/eng/interactive/vsme/vsme-guidance-annex-ii/2025-07-30-ec-rec/174" xr:uid="{CA6B80B4-6C60-4074-9CFC-1059902A0FB1}"/>
    <hyperlink ref="B192" r:id="rId68" display="https://knowledgehub.efrag.org/eng/interactive/vsme/vsme-guidance-annex-ii/2025-07-30-ec-rec/174" xr:uid="{05C78791-FB1E-4FA2-9604-FC8BCAA1441C}"/>
    <hyperlink ref="B193" r:id="rId69" display="https://knowledgehub.efrag.org/eng/interactive/vsme/vsme-guidance-annex-ii/2025-07-30-ec-rec/174" xr:uid="{4A0D5D39-2C03-43D0-9375-DC3C82B33B09}"/>
    <hyperlink ref="B194" r:id="rId70" display="https://knowledgehub.efrag.org/eng/interactive/vsme/vsme-guidance-annex-ii/2025-07-30-ec-rec/174" xr:uid="{C59010DE-D3AC-409F-9317-76D7ED231E9F}"/>
    <hyperlink ref="A184" r:id="rId71" display="https://knowledgehub.efrag.org/eng/interactive/vsme/vsme-standard-annex-i/2025-07-30-ec-rec/62" xr:uid="{8B04F7D4-B956-4B1F-89C8-4C754FFF8E5F}"/>
    <hyperlink ref="A185" r:id="rId72" xr:uid="{42F6A29B-A9F1-4E33-A6C8-8E1590038216}"/>
    <hyperlink ref="A186" r:id="rId73" xr:uid="{26F5A139-9026-4773-8AE3-8896A40DD8F6}"/>
    <hyperlink ref="A187" r:id="rId74" xr:uid="{AB7ADD27-4BB6-46D4-BA83-95FB7616CF6A}"/>
    <hyperlink ref="A188" r:id="rId75" xr:uid="{C37065EB-0AB7-4088-9F0C-6F7541C45EAE}"/>
    <hyperlink ref="A189" r:id="rId76" xr:uid="{21967051-D440-4871-BCCB-CED4AE202AB6}"/>
    <hyperlink ref="A190" r:id="rId77" xr:uid="{FDCC325E-5EB7-442A-B7F0-E60CA88D495D}"/>
    <hyperlink ref="A191" r:id="rId78" xr:uid="{690825A4-EADA-4741-B150-400BF47F8B64}"/>
    <hyperlink ref="A192" r:id="rId79" xr:uid="{1CDE0790-C873-412A-806D-8178996FD837}"/>
    <hyperlink ref="A193" r:id="rId80" xr:uid="{376E4401-8A7A-443C-9E73-F57A5CFC3AB0}"/>
    <hyperlink ref="A194" r:id="rId81" xr:uid="{3A8F3C6D-B852-4D9C-B84B-4FF16313DD71}"/>
    <hyperlink ref="C199:H199" r:id="rId82" display="https://knowledgehub.efrag.org/eng/interactive/vsme/vsme-standard-annex-i/2025-07-30-ec-rec/10" xr:uid="{07733647-E455-49AF-9175-D7668586937A}"/>
    <hyperlink ref="A183:B183" r:id="rId83" display="https://www.efrag.org/en/vsme-supporting-guide-to-disclosure-c7-comprehensive-module-severe-negative-human-rights-incidents" xr:uid="{0AE58F6E-56A7-4DA5-BEDF-0D15C12A2D22}"/>
  </hyperlinks>
  <pageMargins left="0.7" right="0.7" top="0.75" bottom="0.75" header="0.3" footer="0.3"/>
  <pageSetup paperSize="9" orientation="portrait" horizontalDpi="4294967293" verticalDpi="4294967293" r:id="rId84"/>
  <drawing r:id="rId85"/>
  <extLst>
    <ext xmlns:x14="http://schemas.microsoft.com/office/spreadsheetml/2009/9/main" uri="{CCE6A557-97BC-4b89-ADB6-D9C93CAAB3DF}">
      <x14:dataValidations xmlns:xm="http://schemas.microsoft.com/office/excel/2006/main" xWindow="1283" yWindow="371" count="3">
        <x14:dataValidation type="custom" showInputMessage="1" showErrorMessage="1" xr:uid="{36E3C7AF-FE8A-4BFE-93E5-E05EE51CA186}">
          <x14:formula1>
            <xm:f>IF('General Information'!$E$286="","-",'General Information'!$E$286)</xm:f>
          </x14:formula1>
          <xm:sqref>F2:H2</xm:sqref>
        </x14:dataValidation>
        <x14:dataValidation type="custom" showInputMessage="1" showErrorMessage="1" xr:uid="{5CB0FDEF-7EB7-4204-AC9A-257032190656}">
          <x14:formula1>
            <xm:f>IF('General Information'!$E$284="","-",'General Information'!$E$284)</xm:f>
          </x14:formula1>
          <xm:sqref>D22:G22 E129</xm:sqref>
        </x14:dataValidation>
        <x14:dataValidation type="decimal" operator="lessThanOrEqual" showInputMessage="1" showErrorMessage="1" xr:uid="{0C498D34-B549-4574-AAED-C478F3CDADCC}">
          <x14:formula1>
            <xm:f>'General Information'!E284</xm:f>
          </x14:formula1>
          <xm:sqref>D151:H151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49B14-26A1-417D-A9CD-577098931573}">
  <sheetPr codeName="Sheet5">
    <pageSetUpPr autoPageBreaks="0"/>
  </sheetPr>
  <dimension ref="A1:BZ218"/>
  <sheetViews>
    <sheetView zoomScaleNormal="100" workbookViewId="0"/>
  </sheetViews>
  <sheetFormatPr baseColWidth="10" defaultColWidth="8.88671875" defaultRowHeight="14.4" x14ac:dyDescent="0.3"/>
  <cols>
    <col min="1" max="2" width="10" bestFit="1" customWidth="1"/>
    <col min="3" max="3" width="33.5546875" customWidth="1"/>
    <col min="5" max="5" width="14.44140625" customWidth="1"/>
    <col min="7" max="7" width="24.33203125" customWidth="1"/>
    <col min="8" max="8" width="38.44140625" customWidth="1"/>
    <col min="9" max="9" width="15.5546875" style="15" customWidth="1"/>
    <col min="10" max="10" width="16.44140625" style="10" customWidth="1"/>
    <col min="11" max="17" width="8.5546875" style="10"/>
    <col min="18" max="78" width="8.6640625" style="10"/>
  </cols>
  <sheetData>
    <row r="1" spans="1:9" ht="43.8" thickBot="1" x14ac:dyDescent="0.35">
      <c r="A1" s="219" t="s">
        <v>76</v>
      </c>
      <c r="B1" s="219" t="s">
        <v>77</v>
      </c>
      <c r="C1" s="10"/>
      <c r="D1" s="10"/>
      <c r="E1" s="10"/>
      <c r="F1" s="10"/>
      <c r="G1" s="10"/>
      <c r="H1" s="10"/>
    </row>
    <row r="2" spans="1:9" ht="15" thickBot="1" x14ac:dyDescent="0.35">
      <c r="A2" s="10"/>
      <c r="B2" s="10"/>
      <c r="C2" s="634" t="str">
        <f>template_label_b11_convictions_and_fines_for_corruption_and_bribery&amp;" "&amp;template_label_from&amp;" "&amp;template_starting_date_display&amp;" "&amp;template_label_to&amp;" "&amp;template_ending_date_display&amp;" "&amp;template_label_if_applicable</f>
        <v>B11 – Condamnations et amendes pour corruption et pots-de-vin du - au - [Le cas échéant]</v>
      </c>
      <c r="D2" s="781"/>
      <c r="E2" s="781"/>
      <c r="F2" s="781"/>
      <c r="G2" s="781"/>
      <c r="H2" s="782"/>
    </row>
    <row r="3" spans="1:9" x14ac:dyDescent="0.3">
      <c r="A3" s="10"/>
      <c r="B3" s="10"/>
      <c r="C3" s="636">
        <v>43</v>
      </c>
      <c r="D3" s="783"/>
      <c r="E3" s="783"/>
      <c r="F3" s="783"/>
      <c r="G3" s="783"/>
      <c r="H3" s="784"/>
    </row>
    <row r="4" spans="1:9" x14ac:dyDescent="0.3">
      <c r="A4" s="10"/>
      <c r="B4" s="10"/>
      <c r="C4" s="645" t="s">
        <v>78</v>
      </c>
      <c r="D4" s="622"/>
      <c r="E4" s="622"/>
      <c r="F4" s="622"/>
      <c r="G4" s="622"/>
      <c r="H4" s="741"/>
    </row>
    <row r="5" spans="1:9" s="10" customFormat="1" x14ac:dyDescent="0.3">
      <c r="C5" s="717" t="str">
        <f>template_label_has_the_undertaking_incurred_in_convictions_and_fines_in_the_reporting_period</f>
        <v>L'entreprise a-t-elle fait l'objet de condamnations et d'amendes au cours de la période de reporting ?</v>
      </c>
      <c r="D5" s="893"/>
      <c r="E5" s="893"/>
      <c r="F5" s="893"/>
      <c r="G5" s="893"/>
      <c r="H5" s="143" t="b">
        <v>0</v>
      </c>
      <c r="I5" s="15"/>
    </row>
    <row r="6" spans="1:9" s="10" customFormat="1" ht="21.6" customHeight="1" x14ac:dyDescent="0.3">
      <c r="C6" s="1120" t="str">
        <f>template_label_total_number_of_convictions_for_the_violation_of_anti_corruption_and_anti_bribery_laws</f>
        <v>Nombre total de condamnations pour infraction à la législation sur la lutte contre la corruption et les actes de corruption</v>
      </c>
      <c r="D6" s="1121"/>
      <c r="E6" s="1121"/>
      <c r="F6" s="1121"/>
      <c r="G6" s="1121"/>
      <c r="H6" s="243"/>
      <c r="I6" s="15" t="str">
        <f>IF(AND($H$5=TRUE,H6&lt;&gt;""), template_label_ok,
IF(AND($H$5=TRUE,H6=""), template_label_missing_value, ""))</f>
        <v/>
      </c>
    </row>
    <row r="7" spans="1:9" s="10" customFormat="1" ht="15" thickBot="1" x14ac:dyDescent="0.35">
      <c r="C7" s="1122" t="str">
        <f>template_label_total_amount_of_fines_for_the_violation_of_anti_corruption_and_anti_bribery_laws &amp; " " &amp; "(" &amp; template_label_amount_in &amp; " " &amp; template_currency &amp; ")"</f>
        <v>Montant total des amendes pour infraction à la législation sur la lutte contre la corruption et les actes de corruption (montant en )</v>
      </c>
      <c r="D7" s="1123"/>
      <c r="E7" s="1123"/>
      <c r="F7" s="1123"/>
      <c r="G7" s="1123"/>
      <c r="H7" s="247"/>
      <c r="I7" s="15" t="str">
        <f>IF(AND($H$5=TRUE,H7&lt;&gt;""), template_label_ok,
IF(AND($H$5=TRUE,H7=""), template_label_missing_value, ""))</f>
        <v/>
      </c>
    </row>
    <row r="8" spans="1:9" s="10" customFormat="1" ht="15" thickBot="1" x14ac:dyDescent="0.35">
      <c r="I8" s="15"/>
    </row>
    <row r="9" spans="1:9" s="10" customFormat="1" ht="15" thickBot="1" x14ac:dyDescent="0.35">
      <c r="C9" s="1101" t="str">
        <f>template_label_c8_revenues_from_certain_sectors&amp;" "&amp;template_label_from&amp;" "&amp;template_starting_date_display&amp;" "&amp;template_label_to&amp;" "&amp;template_ending_date_display&amp;" "&amp;template_label_if_applicable</f>
        <v>C8 – Chiffre d’affaires de certains secteurs du - au - [Le cas échéant]</v>
      </c>
      <c r="D9" s="1102"/>
      <c r="E9" s="1102"/>
      <c r="F9" s="1102"/>
      <c r="G9" s="1102"/>
      <c r="H9" s="1103"/>
      <c r="I9" s="15"/>
    </row>
    <row r="10" spans="1:9" ht="28.2" customHeight="1" x14ac:dyDescent="0.3">
      <c r="A10" s="10"/>
      <c r="B10" s="10"/>
      <c r="C10" s="858" t="str">
        <f>template_label_is_the_undertaking_deriving_revenues_from_one_of_the_activities_listed_below</f>
        <v>L’entreprise réalise-t-elle des revenus à partir de l’une des activités listées ci-dessous ?</v>
      </c>
      <c r="D10" s="859"/>
      <c r="E10" s="859"/>
      <c r="F10" s="859"/>
      <c r="G10" s="859"/>
      <c r="H10" s="125" t="b">
        <v>0</v>
      </c>
    </row>
    <row r="11" spans="1:9" x14ac:dyDescent="0.3">
      <c r="A11" s="10"/>
      <c r="B11" s="10"/>
      <c r="C11" s="832"/>
      <c r="D11" s="833"/>
      <c r="E11" s="833"/>
      <c r="F11" s="833"/>
      <c r="G11" s="833"/>
      <c r="H11" s="47" t="str">
        <f>template_label_monetary_amount_in &amp; " " &amp; template_currency</f>
        <v xml:space="preserve">Montant monétaire en </v>
      </c>
    </row>
    <row r="12" spans="1:9" s="10" customFormat="1" ht="32.4" customHeight="1" x14ac:dyDescent="0.3">
      <c r="A12" s="381" t="s">
        <v>79</v>
      </c>
      <c r="B12" s="382" t="s">
        <v>80</v>
      </c>
      <c r="C12" s="703" t="str">
        <f>template_label_revenue_derived_from_controversial_weapons</f>
        <v>Chiffre d'affaires réalisé à partir des armes controversées (mines antipersonnel, armes à sous-munitions, armes chimiques et armes biologiques)</v>
      </c>
      <c r="D12" s="841"/>
      <c r="E12" s="841"/>
      <c r="F12" s="841"/>
      <c r="G12" s="841"/>
      <c r="H12" s="243"/>
      <c r="I12" s="1091" t="str">
        <f>IF(AND(H10=FALSE,COUNTA(H12:H16)=0, H18=""),
    "",
    IF(AND(OR(COUNTA(H12:H16)&gt;0, H18&lt;&gt;""), SUM(H12:H16, H18)&lt;='General Information'!E283),
        template_label_ok,
        IF(AND(H10=TRUE, COUNTA(H12:H16)=0, H18=""),
            template_label_missing_value,
            template_label_value_inconsistency
        )
    )
)</f>
        <v/>
      </c>
    </row>
    <row r="13" spans="1:9" s="10" customFormat="1" ht="15" thickBot="1" x14ac:dyDescent="0.35">
      <c r="A13" s="381" t="s">
        <v>81</v>
      </c>
      <c r="B13" s="382" t="s">
        <v>80</v>
      </c>
      <c r="C13" s="746" t="str">
        <f>template_label_revenue_derived_from_cultivation_and_production_of_tobacco</f>
        <v>Chiffre d'affaires réalisé à partir de la culture et la production de tabac</v>
      </c>
      <c r="D13" s="1092"/>
      <c r="E13" s="1092"/>
      <c r="F13" s="1092"/>
      <c r="G13" s="1092"/>
      <c r="H13" s="244"/>
      <c r="I13" s="1091"/>
    </row>
    <row r="14" spans="1:9" s="10" customFormat="1" x14ac:dyDescent="0.3">
      <c r="A14" s="381" t="s">
        <v>82</v>
      </c>
      <c r="B14" s="382" t="s">
        <v>80</v>
      </c>
      <c r="C14" s="1093" t="str">
        <f>template_label_revenue_derived_from_coal</f>
        <v>Chiffre d'affaires réalisé à partir du charbon</v>
      </c>
      <c r="D14" s="1094"/>
      <c r="E14" s="1094"/>
      <c r="F14" s="1094"/>
      <c r="G14" s="1094"/>
      <c r="H14" s="245"/>
      <c r="I14" s="1091"/>
    </row>
    <row r="15" spans="1:9" s="10" customFormat="1" x14ac:dyDescent="0.3">
      <c r="A15" s="381" t="s">
        <v>82</v>
      </c>
      <c r="B15" s="382" t="s">
        <v>80</v>
      </c>
      <c r="C15" s="703" t="str">
        <f>template_label_revenue_derived_from_oil</f>
        <v>Chiffre d'affaires réalisé à partir du pétrole</v>
      </c>
      <c r="D15" s="841"/>
      <c r="E15" s="841"/>
      <c r="F15" s="841"/>
      <c r="G15" s="841"/>
      <c r="H15" s="243"/>
      <c r="I15" s="1091"/>
    </row>
    <row r="16" spans="1:9" s="10" customFormat="1" x14ac:dyDescent="0.3">
      <c r="A16" s="381" t="s">
        <v>82</v>
      </c>
      <c r="B16" s="382" t="s">
        <v>80</v>
      </c>
      <c r="C16" s="703" t="str">
        <f>template_label_revenue_derived_from_gas</f>
        <v>Chiffre d'affaires réalisé à partir du gaz</v>
      </c>
      <c r="D16" s="841"/>
      <c r="E16" s="841"/>
      <c r="F16" s="841"/>
      <c r="G16" s="841"/>
      <c r="H16" s="243"/>
      <c r="I16" s="1091"/>
    </row>
    <row r="17" spans="1:9" s="10" customFormat="1" ht="60.6" customHeight="1" thickBot="1" x14ac:dyDescent="0.35">
      <c r="A17" s="381" t="s">
        <v>82</v>
      </c>
      <c r="B17" s="382" t="s">
        <v>80</v>
      </c>
      <c r="C17" s="1089" t="str">
        <f>template_label_total_revenues_derived_from_fossil_fuel_sector</f>
        <v xml:space="preserve">	
Chiffre d'affaire total réalisé à partir du secteur des combustibles fossiles (charbon, pétrole et gaz) [c’est-à-dire qu'elle réalise un chiffre d'affaires sur la prospection, l’exploitation minière, l’extraction, la production, la transformation, le stockage, le raffinage ou la distribution, y compris le transport, l’entreposage et le commerce, de combustibles fossiles au sens de l’article 2, point 62), du règlement (UE) 2018/1999 du Parlement européen et du Conseil </v>
      </c>
      <c r="D17" s="1090"/>
      <c r="E17" s="1090"/>
      <c r="F17" s="1090"/>
      <c r="G17" s="1090"/>
      <c r="H17" s="239" t="str">
        <f>IF(COUNTA(H14:H16)=0, "-", SUM(H14:H16))</f>
        <v>-</v>
      </c>
      <c r="I17" s="1091"/>
    </row>
    <row r="18" spans="1:9" s="10" customFormat="1" ht="15" thickBot="1" x14ac:dyDescent="0.35">
      <c r="A18" s="381" t="s">
        <v>83</v>
      </c>
      <c r="B18" s="382" t="s">
        <v>80</v>
      </c>
      <c r="C18" s="748" t="str">
        <f>template_label_revenue_derived_from_chemicals_production</f>
        <v>Chiffre d'affaires réalisé à partir de la production de produits chimiques</v>
      </c>
      <c r="D18" s="1107"/>
      <c r="E18" s="1107"/>
      <c r="F18" s="1107"/>
      <c r="G18" s="1107"/>
      <c r="H18" s="246"/>
      <c r="I18" s="1091"/>
    </row>
    <row r="19" spans="1:9" s="10" customFormat="1" ht="15" thickBot="1" x14ac:dyDescent="0.35">
      <c r="I19" s="15"/>
    </row>
    <row r="20" spans="1:9" s="10" customFormat="1" ht="15" thickBot="1" x14ac:dyDescent="0.35">
      <c r="C20" s="1101" t="str">
        <f>template_label_c8_exclusion_from_eu_reference_benchmarks&amp;" "&amp;template_label_from&amp;" "&amp;template_starting_date_display&amp;" "&amp;template_label_to&amp;" "&amp;template_ending_date_display&amp;" "&amp;template_label_always_to_be_reported</f>
        <v xml:space="preserve">C8 - Exclusion des indices de référence de l’Union européenne du - au - [Toujours à reporter] 
</v>
      </c>
      <c r="D20" s="1102"/>
      <c r="E20" s="1102"/>
      <c r="F20" s="1102"/>
      <c r="G20" s="1102"/>
      <c r="H20" s="1103"/>
      <c r="I20" s="15"/>
    </row>
    <row r="21" spans="1:9" s="10" customFormat="1" x14ac:dyDescent="0.3">
      <c r="C21" s="1104" t="str">
        <f>template_label_undertakings_are_excluded_from_the_eu_paris_aligned_benchmarks_if_they_derive</f>
        <v>Les entreprises sont exclues des indices de référence « accord de Paris » de l'Union européenne si elles tirent :</v>
      </c>
      <c r="D21" s="1105"/>
      <c r="E21" s="1105"/>
      <c r="F21" s="1105"/>
      <c r="G21" s="1105"/>
      <c r="H21" s="1106"/>
      <c r="I21" s="15"/>
    </row>
    <row r="22" spans="1:9" s="10" customFormat="1" ht="30" customHeight="1" x14ac:dyDescent="0.3">
      <c r="A22" s="381">
        <v>64</v>
      </c>
      <c r="B22" s="382" t="s">
        <v>84</v>
      </c>
      <c r="C22" s="1108" t="str">
        <f>template_label_1_percent_or_more_of_their_revenues_from_exploration_mining_extraction_distribution_or_refining_of_hard_coal_and_lignite</f>
        <v>au moins 1 % de leur chiffre d’affaires de la prospection, de l'extraction, de la distribution ou du raffinage de houille et de lignite</v>
      </c>
      <c r="D22" s="1109"/>
      <c r="E22" s="1109"/>
      <c r="F22" s="1109"/>
      <c r="G22" s="1110"/>
      <c r="H22" s="145" t="b">
        <v>0</v>
      </c>
      <c r="I22" s="1075" t="str">
        <f>IF(OR(
'Table of Contents &amp; Validation'!D65=TRUE,'Table of Contents &amp; Validation'!D63=TRUE),
IF(AND(OR(H22=TRUE, H23=TRUE, H24=TRUE, H25=TRUE), 'General Information'!E125="Option B (Basic Module and Comprehensive Module)"), template_label_ok,
    IF(AND(H22=FALSE, H23=FALSE, H24=FALSE, H25=FALSE, H26=FALSE, 'General Information'!E125="Option B (Basic Module and Comprehensive Module)"), "",
    IF('General Information'!E125="Option A (Basic Module only)", "",
    IF(AND('General Information'!E125="Option B (Basic Module and Comprehensive Module)", H26=TRUE), template_label_ok, "")))),
IF(AND(OR(H22=TRUE, H23=TRUE, H24=TRUE, H25=TRUE), 'General Information'!E125="Option B (Basic Module and Comprehensive Module)"), template_label_ok,
    IF(AND(H22=FALSE, H23=FALSE, H24=FALSE, H25=FALSE, H26=FALSE, 'General Information'!E125="Option B (Basic Module and Comprehensive Module)"), template_label_missing_value,
    IF('General Information'!E125="Option A (Basic Module only)", "",
    IF(AND('General Information'!E125="Option B (Basic Module and Comprehensive Module)", H26=TRUE), template_label_ok, ""))))
)</f>
        <v/>
      </c>
    </row>
    <row r="23" spans="1:9" s="10" customFormat="1" x14ac:dyDescent="0.3">
      <c r="A23" s="381">
        <v>64</v>
      </c>
      <c r="B23" s="382" t="s">
        <v>85</v>
      </c>
      <c r="C23" s="1111" t="str">
        <f>template_label_10_percent_or_more_of_their_revenues_from_the_exploration_extraction_distribution_or_refining_of_oil_fuels</f>
        <v>au moins 10 % de leur chiffre d’affaires de la prospection, de l'extraction, de la distribution ou du raffinage de combustibles liquides</v>
      </c>
      <c r="D23" s="1112"/>
      <c r="E23" s="1112"/>
      <c r="F23" s="1112"/>
      <c r="G23" s="1113"/>
      <c r="H23" s="146" t="b">
        <v>0</v>
      </c>
      <c r="I23" s="1075"/>
    </row>
    <row r="24" spans="1:9" s="10" customFormat="1" ht="32.4" customHeight="1" x14ac:dyDescent="0.3">
      <c r="A24" s="381">
        <v>64</v>
      </c>
      <c r="B24" s="382" t="s">
        <v>86</v>
      </c>
      <c r="C24" s="1114" t="str">
        <f>template_label_50_percent_or_more_of_their_revenues_from_the_exploration_extraction_manufacturing_or_distribution_of_gaseous_fuels</f>
        <v>au moins 50 % de leur chiffre d’affaires de la prospection, de l'extraction, de la fabrication ou de la distribution de combustibles gazeux</v>
      </c>
      <c r="D24" s="1115"/>
      <c r="E24" s="1115"/>
      <c r="F24" s="1115"/>
      <c r="G24" s="1116"/>
      <c r="H24" s="146" t="b">
        <v>0</v>
      </c>
      <c r="I24" s="1075"/>
    </row>
    <row r="25" spans="1:9" s="10" customFormat="1" ht="31.2" customHeight="1" thickBot="1" x14ac:dyDescent="0.35">
      <c r="A25" s="381">
        <v>64</v>
      </c>
      <c r="B25" s="382" t="s">
        <v>87</v>
      </c>
      <c r="C25" s="1117" t="str">
        <f>template_label_50_percent_or_more_of_their_revenues_from_electricity_generation</f>
        <v>au moins 50 % de leur chiffre d’affaires d’activités de production d'électricité présentant une intensité d’émission de GES supérieure à 100 g CO₂e/kWh</v>
      </c>
      <c r="D25" s="1118"/>
      <c r="E25" s="1118"/>
      <c r="F25" s="1118"/>
      <c r="G25" s="1119"/>
      <c r="H25" s="147" t="b">
        <v>0</v>
      </c>
      <c r="I25" s="1075"/>
    </row>
    <row r="26" spans="1:9" s="10" customFormat="1" ht="15" thickBot="1" x14ac:dyDescent="0.35">
      <c r="A26" s="381"/>
      <c r="B26" s="405"/>
      <c r="C26" s="1095" t="str">
        <f>template_label_none_of_the_above</f>
        <v>Aucun des éléments ci-dessus</v>
      </c>
      <c r="D26" s="1096"/>
      <c r="E26" s="1096"/>
      <c r="F26" s="1096"/>
      <c r="G26" s="1097"/>
      <c r="H26" s="148" t="b">
        <v>0</v>
      </c>
      <c r="I26" s="1075"/>
    </row>
    <row r="27" spans="1:9" s="10" customFormat="1" ht="15" thickBot="1" x14ac:dyDescent="0.35">
      <c r="A27" s="381">
        <v>64</v>
      </c>
      <c r="B27" s="382">
        <v>177</v>
      </c>
      <c r="C27" s="1098" t="str">
        <f>template_label_undertakings_are_excluded_from_any_eu_reference_benchmarks_that_are_aligned_with_the_paris_agreement</f>
        <v>Les entreprises sont exclues des indices de référence « accord de Paris » de l’Union européenne</v>
      </c>
      <c r="D27" s="1099"/>
      <c r="E27" s="1099"/>
      <c r="F27" s="1099"/>
      <c r="G27" s="1100"/>
      <c r="H27" s="20" t="str">
        <f>IF(AND(OR(H22=TRUE, H23=TRUE, H24=TRUE, H25=TRUE), H26=FALSE), "YES",
   IF(AND(OR(H22=TRUE, H23=TRUE, H24=TRUE, H25=TRUE), H26=TRUE), "NA",
   IF(AND(H22=FALSE, H23=FALSE, H24=FALSE, H25=FALSE, H26=TRUE), "NO",
   IF(AND(H22=FALSE, H23=FALSE, H24=FALSE, H25=FALSE, H26=FALSE), "-", ""))))</f>
        <v>-</v>
      </c>
      <c r="I27" s="15" t="str">
        <f>IF(H27=TRUE, template_label_ok, "")</f>
        <v/>
      </c>
    </row>
    <row r="28" spans="1:9" s="10" customFormat="1" ht="15" thickBot="1" x14ac:dyDescent="0.35">
      <c r="I28" s="15"/>
    </row>
    <row r="29" spans="1:9" s="10" customFormat="1" ht="15" thickBot="1" x14ac:dyDescent="0.35">
      <c r="C29" s="923" t="str">
        <f>template_label_c9_gender_diversity_ratio_in_the_governance_body&amp;" "&amp;template_label_at&amp;" "&amp;template_ending_date_display&amp;" "&amp;template_label_if_applicable</f>
        <v>C9 – Ratio de mixité au sein de l’organe de gouvernance à - [Le cas échéant]</v>
      </c>
      <c r="D29" s="924"/>
      <c r="E29" s="924"/>
      <c r="F29" s="924"/>
      <c r="G29" s="924"/>
      <c r="H29" s="925"/>
      <c r="I29" s="15"/>
    </row>
    <row r="30" spans="1:9" s="10" customFormat="1" x14ac:dyDescent="0.3">
      <c r="C30" s="858" t="str">
        <f>template_label_does_the_undertaking_have_a_governance_body_in_place</f>
        <v>L'entreprise dispose-t-elle d'un organe de gouvernance ?</v>
      </c>
      <c r="D30" s="859"/>
      <c r="E30" s="859"/>
      <c r="F30" s="859"/>
      <c r="G30" s="859"/>
      <c r="H30" s="125" t="b">
        <v>0</v>
      </c>
      <c r="I30" s="15"/>
    </row>
    <row r="31" spans="1:9" s="10" customFormat="1" x14ac:dyDescent="0.3">
      <c r="A31" s="622">
        <v>65</v>
      </c>
      <c r="B31" s="623" t="s">
        <v>88</v>
      </c>
      <c r="C31" s="717" t="str">
        <f>template_label_number_of_female_board_members_at_the_end_of_the_reporting_period</f>
        <v>Nombre de femmes membres du conseil d'administration à la fin de la période de reporting</v>
      </c>
      <c r="D31" s="893"/>
      <c r="E31" s="893"/>
      <c r="F31" s="893"/>
      <c r="G31" s="893"/>
      <c r="H31" s="243"/>
      <c r="I31" s="15" t="str">
        <f>IF(AND($H$30=TRUE, H31&lt;&gt;""), template_label_ok, IF(AND($H$30=TRUE, H31=""), template_label_missing_value, ""))</f>
        <v/>
      </c>
    </row>
    <row r="32" spans="1:9" s="10" customFormat="1" x14ac:dyDescent="0.3">
      <c r="A32" s="622"/>
      <c r="B32" s="623"/>
      <c r="C32" s="717" t="str">
        <f>template_label_number_of_male_board_members_at_the_end_of_the_reporting_period</f>
        <v>Nombre d'hommes membres du conseil d'administration à la fin de la période de reporting</v>
      </c>
      <c r="D32" s="893"/>
      <c r="E32" s="893"/>
      <c r="F32" s="893"/>
      <c r="G32" s="893"/>
      <c r="H32" s="243"/>
      <c r="I32" s="15" t="str">
        <f>IF(AND($H$30=TRUE, H32&lt;&gt;""), template_label_ok, IF(AND($H$30=TRUE, H32=""), template_label_missing_value, ""))</f>
        <v/>
      </c>
    </row>
    <row r="33" spans="1:9" s="10" customFormat="1" ht="15" thickBot="1" x14ac:dyDescent="0.35">
      <c r="A33" s="622"/>
      <c r="B33" s="623"/>
      <c r="C33" s="1087" t="str">
        <f>template_label_gender_diversity_ratio_in_governance_body</f>
        <v>Ratio de mixité au sein de l’organe de gouvernance</v>
      </c>
      <c r="D33" s="1088"/>
      <c r="E33" s="1088"/>
      <c r="F33" s="1088"/>
      <c r="G33" s="1088"/>
      <c r="H33" s="239" t="str">
        <f>IF(AND(H31&lt;&gt;"",H32&lt;&gt;""),IF(OR(H31=0,H32=0),0,H31/H32),"-")</f>
        <v>-</v>
      </c>
      <c r="I33" s="15"/>
    </row>
    <row r="34" spans="1:9" s="10" customFormat="1" x14ac:dyDescent="0.3">
      <c r="I34" s="15"/>
    </row>
    <row r="35" spans="1:9" s="10" customFormat="1" ht="15" thickBot="1" x14ac:dyDescent="0.35">
      <c r="I35" s="15"/>
    </row>
    <row r="36" spans="1:9" s="10" customFormat="1" ht="15" thickBot="1" x14ac:dyDescent="0.35">
      <c r="C36" s="852" t="str">
        <f>template_label_disclosure_of_any_other_governance_and_or_entity_specific_governance_disclosures&amp;" "&amp;template_label_from&amp;" "&amp;template_starting_date_display&amp;" "&amp;template_label_to&amp;" "&amp;template_ending_date_display&amp;" " &amp; template_label_may</f>
        <v>Publication de toute autre information de gouvernance et/ ou spécifique à l'entité du - au - [peut (facultatif)]</v>
      </c>
      <c r="D36" s="853"/>
      <c r="E36" s="853"/>
      <c r="F36" s="853"/>
      <c r="G36" s="853"/>
      <c r="H36" s="854"/>
      <c r="I36" s="15"/>
    </row>
    <row r="37" spans="1:9" s="10" customFormat="1" x14ac:dyDescent="0.3">
      <c r="C37" s="636">
        <v>10</v>
      </c>
      <c r="D37" s="783"/>
      <c r="E37" s="783"/>
      <c r="F37" s="783"/>
      <c r="G37" s="783"/>
      <c r="H37" s="784"/>
      <c r="I37" s="15"/>
    </row>
    <row r="38" spans="1:9" s="10" customFormat="1" ht="15" thickBot="1" x14ac:dyDescent="0.35">
      <c r="C38" s="848"/>
      <c r="D38" s="666"/>
      <c r="E38" s="666"/>
      <c r="F38" s="666"/>
      <c r="G38" s="666"/>
      <c r="H38" s="667"/>
      <c r="I38" s="19" t="str">
        <f>IF(C38&lt;&gt;"",template_label_ok, "")</f>
        <v/>
      </c>
    </row>
    <row r="39" spans="1:9" s="10" customFormat="1" x14ac:dyDescent="0.3">
      <c r="I39" s="15"/>
    </row>
    <row r="40" spans="1:9" s="10" customFormat="1" x14ac:dyDescent="0.3">
      <c r="I40" s="15"/>
    </row>
    <row r="41" spans="1:9" s="10" customFormat="1" x14ac:dyDescent="0.3">
      <c r="I41" s="15"/>
    </row>
    <row r="42" spans="1:9" s="10" customFormat="1" x14ac:dyDescent="0.3">
      <c r="I42" s="15"/>
    </row>
    <row r="43" spans="1:9" s="10" customFormat="1" x14ac:dyDescent="0.3">
      <c r="I43" s="15"/>
    </row>
    <row r="44" spans="1:9" s="10" customFormat="1" x14ac:dyDescent="0.3">
      <c r="I44" s="15"/>
    </row>
    <row r="45" spans="1:9" s="10" customFormat="1" x14ac:dyDescent="0.3">
      <c r="I45" s="15"/>
    </row>
    <row r="46" spans="1:9" s="10" customFormat="1" x14ac:dyDescent="0.3">
      <c r="I46" s="15"/>
    </row>
    <row r="47" spans="1:9" s="10" customFormat="1" x14ac:dyDescent="0.3">
      <c r="I47" s="15"/>
    </row>
    <row r="48" spans="1:9" s="10" customFormat="1" x14ac:dyDescent="0.3">
      <c r="I48" s="15"/>
    </row>
    <row r="49" spans="9:9" s="10" customFormat="1" x14ac:dyDescent="0.3">
      <c r="I49" s="15"/>
    </row>
    <row r="50" spans="9:9" s="10" customFormat="1" x14ac:dyDescent="0.3">
      <c r="I50" s="15"/>
    </row>
    <row r="51" spans="9:9" s="10" customFormat="1" x14ac:dyDescent="0.3">
      <c r="I51" s="15"/>
    </row>
    <row r="52" spans="9:9" s="10" customFormat="1" x14ac:dyDescent="0.3">
      <c r="I52" s="15"/>
    </row>
    <row r="53" spans="9:9" s="10" customFormat="1" x14ac:dyDescent="0.3">
      <c r="I53" s="15"/>
    </row>
    <row r="54" spans="9:9" s="10" customFormat="1" x14ac:dyDescent="0.3">
      <c r="I54" s="15"/>
    </row>
    <row r="55" spans="9:9" s="10" customFormat="1" x14ac:dyDescent="0.3">
      <c r="I55" s="15"/>
    </row>
    <row r="56" spans="9:9" s="10" customFormat="1" x14ac:dyDescent="0.3">
      <c r="I56" s="15"/>
    </row>
    <row r="57" spans="9:9" s="10" customFormat="1" x14ac:dyDescent="0.3">
      <c r="I57" s="15"/>
    </row>
    <row r="58" spans="9:9" s="10" customFormat="1" x14ac:dyDescent="0.3">
      <c r="I58" s="15"/>
    </row>
    <row r="59" spans="9:9" s="10" customFormat="1" x14ac:dyDescent="0.3">
      <c r="I59" s="15"/>
    </row>
    <row r="60" spans="9:9" s="10" customFormat="1" x14ac:dyDescent="0.3">
      <c r="I60" s="15"/>
    </row>
    <row r="61" spans="9:9" s="10" customFormat="1" x14ac:dyDescent="0.3">
      <c r="I61" s="15"/>
    </row>
    <row r="62" spans="9:9" s="10" customFormat="1" x14ac:dyDescent="0.3">
      <c r="I62" s="15"/>
    </row>
    <row r="63" spans="9:9" s="10" customFormat="1" x14ac:dyDescent="0.3">
      <c r="I63" s="15"/>
    </row>
    <row r="64" spans="9:9" s="10" customFormat="1" x14ac:dyDescent="0.3">
      <c r="I64" s="15"/>
    </row>
    <row r="65" spans="9:9" s="10" customFormat="1" x14ac:dyDescent="0.3">
      <c r="I65" s="15"/>
    </row>
    <row r="66" spans="9:9" s="10" customFormat="1" x14ac:dyDescent="0.3">
      <c r="I66" s="15"/>
    </row>
    <row r="67" spans="9:9" s="10" customFormat="1" x14ac:dyDescent="0.3">
      <c r="I67" s="15"/>
    </row>
    <row r="68" spans="9:9" s="10" customFormat="1" x14ac:dyDescent="0.3">
      <c r="I68" s="15"/>
    </row>
    <row r="69" spans="9:9" s="10" customFormat="1" x14ac:dyDescent="0.3">
      <c r="I69" s="15"/>
    </row>
    <row r="70" spans="9:9" s="10" customFormat="1" x14ac:dyDescent="0.3">
      <c r="I70" s="15"/>
    </row>
    <row r="71" spans="9:9" s="10" customFormat="1" x14ac:dyDescent="0.3">
      <c r="I71" s="15"/>
    </row>
    <row r="72" spans="9:9" s="10" customFormat="1" x14ac:dyDescent="0.3">
      <c r="I72" s="15"/>
    </row>
    <row r="73" spans="9:9" s="10" customFormat="1" x14ac:dyDescent="0.3">
      <c r="I73" s="15"/>
    </row>
    <row r="74" spans="9:9" s="10" customFormat="1" x14ac:dyDescent="0.3">
      <c r="I74" s="15"/>
    </row>
    <row r="75" spans="9:9" s="10" customFormat="1" x14ac:dyDescent="0.3">
      <c r="I75" s="15"/>
    </row>
    <row r="76" spans="9:9" s="10" customFormat="1" x14ac:dyDescent="0.3">
      <c r="I76" s="15"/>
    </row>
    <row r="77" spans="9:9" s="10" customFormat="1" x14ac:dyDescent="0.3">
      <c r="I77" s="15"/>
    </row>
    <row r="78" spans="9:9" s="10" customFormat="1" x14ac:dyDescent="0.3">
      <c r="I78" s="15"/>
    </row>
    <row r="79" spans="9:9" s="10" customFormat="1" x14ac:dyDescent="0.3">
      <c r="I79" s="15"/>
    </row>
    <row r="80" spans="9:9" s="10" customFormat="1" x14ac:dyDescent="0.3">
      <c r="I80" s="15"/>
    </row>
    <row r="81" spans="9:9" s="10" customFormat="1" x14ac:dyDescent="0.3">
      <c r="I81" s="15"/>
    </row>
    <row r="82" spans="9:9" s="10" customFormat="1" x14ac:dyDescent="0.3">
      <c r="I82" s="15"/>
    </row>
    <row r="83" spans="9:9" s="10" customFormat="1" x14ac:dyDescent="0.3">
      <c r="I83" s="15"/>
    </row>
    <row r="84" spans="9:9" s="10" customFormat="1" x14ac:dyDescent="0.3">
      <c r="I84" s="15"/>
    </row>
    <row r="85" spans="9:9" s="10" customFormat="1" x14ac:dyDescent="0.3">
      <c r="I85" s="15"/>
    </row>
    <row r="86" spans="9:9" s="10" customFormat="1" x14ac:dyDescent="0.3">
      <c r="I86" s="15"/>
    </row>
    <row r="87" spans="9:9" s="10" customFormat="1" x14ac:dyDescent="0.3">
      <c r="I87" s="15"/>
    </row>
    <row r="88" spans="9:9" s="10" customFormat="1" x14ac:dyDescent="0.3">
      <c r="I88" s="15"/>
    </row>
    <row r="89" spans="9:9" s="10" customFormat="1" x14ac:dyDescent="0.3">
      <c r="I89" s="15"/>
    </row>
    <row r="90" spans="9:9" s="10" customFormat="1" x14ac:dyDescent="0.3">
      <c r="I90" s="15"/>
    </row>
    <row r="91" spans="9:9" s="10" customFormat="1" x14ac:dyDescent="0.3">
      <c r="I91" s="15"/>
    </row>
    <row r="92" spans="9:9" s="10" customFormat="1" x14ac:dyDescent="0.3">
      <c r="I92" s="15"/>
    </row>
    <row r="93" spans="9:9" s="10" customFormat="1" x14ac:dyDescent="0.3">
      <c r="I93" s="15"/>
    </row>
    <row r="94" spans="9:9" s="10" customFormat="1" x14ac:dyDescent="0.3">
      <c r="I94" s="15"/>
    </row>
    <row r="95" spans="9:9" s="10" customFormat="1" x14ac:dyDescent="0.3">
      <c r="I95" s="15"/>
    </row>
    <row r="96" spans="9:9" s="10" customFormat="1" x14ac:dyDescent="0.3">
      <c r="I96" s="15"/>
    </row>
    <row r="97" spans="9:9" s="10" customFormat="1" x14ac:dyDescent="0.3">
      <c r="I97" s="15"/>
    </row>
    <row r="98" spans="9:9" s="10" customFormat="1" x14ac:dyDescent="0.3">
      <c r="I98" s="15"/>
    </row>
    <row r="99" spans="9:9" s="10" customFormat="1" x14ac:dyDescent="0.3">
      <c r="I99" s="15"/>
    </row>
    <row r="100" spans="9:9" s="10" customFormat="1" x14ac:dyDescent="0.3">
      <c r="I100" s="15"/>
    </row>
    <row r="101" spans="9:9" s="10" customFormat="1" x14ac:dyDescent="0.3">
      <c r="I101" s="15"/>
    </row>
    <row r="102" spans="9:9" s="10" customFormat="1" x14ac:dyDescent="0.3">
      <c r="I102" s="15"/>
    </row>
    <row r="103" spans="9:9" s="10" customFormat="1" x14ac:dyDescent="0.3">
      <c r="I103" s="15"/>
    </row>
    <row r="104" spans="9:9" s="10" customFormat="1" x14ac:dyDescent="0.3">
      <c r="I104" s="15"/>
    </row>
    <row r="105" spans="9:9" s="10" customFormat="1" x14ac:dyDescent="0.3">
      <c r="I105" s="15"/>
    </row>
    <row r="106" spans="9:9" s="10" customFormat="1" x14ac:dyDescent="0.3">
      <c r="I106" s="15"/>
    </row>
    <row r="107" spans="9:9" s="10" customFormat="1" x14ac:dyDescent="0.3">
      <c r="I107" s="15"/>
    </row>
    <row r="108" spans="9:9" s="10" customFormat="1" x14ac:dyDescent="0.3">
      <c r="I108" s="15"/>
    </row>
    <row r="109" spans="9:9" s="10" customFormat="1" x14ac:dyDescent="0.3">
      <c r="I109" s="15"/>
    </row>
    <row r="110" spans="9:9" s="10" customFormat="1" x14ac:dyDescent="0.3">
      <c r="I110" s="15"/>
    </row>
    <row r="111" spans="9:9" s="10" customFormat="1" x14ac:dyDescent="0.3">
      <c r="I111" s="15"/>
    </row>
    <row r="112" spans="9:9" s="10" customFormat="1" x14ac:dyDescent="0.3">
      <c r="I112" s="15"/>
    </row>
    <row r="113" spans="9:9" s="10" customFormat="1" x14ac:dyDescent="0.3">
      <c r="I113" s="15"/>
    </row>
    <row r="114" spans="9:9" s="10" customFormat="1" x14ac:dyDescent="0.3">
      <c r="I114" s="15"/>
    </row>
    <row r="115" spans="9:9" s="10" customFormat="1" x14ac:dyDescent="0.3">
      <c r="I115" s="15"/>
    </row>
    <row r="116" spans="9:9" s="10" customFormat="1" x14ac:dyDescent="0.3">
      <c r="I116" s="15"/>
    </row>
    <row r="117" spans="9:9" s="10" customFormat="1" x14ac:dyDescent="0.3">
      <c r="I117" s="15"/>
    </row>
    <row r="118" spans="9:9" s="10" customFormat="1" x14ac:dyDescent="0.3">
      <c r="I118" s="15"/>
    </row>
    <row r="119" spans="9:9" s="10" customFormat="1" x14ac:dyDescent="0.3">
      <c r="I119" s="15"/>
    </row>
    <row r="120" spans="9:9" s="10" customFormat="1" x14ac:dyDescent="0.3">
      <c r="I120" s="15"/>
    </row>
    <row r="121" spans="9:9" s="10" customFormat="1" x14ac:dyDescent="0.3">
      <c r="I121" s="15"/>
    </row>
    <row r="122" spans="9:9" s="10" customFormat="1" x14ac:dyDescent="0.3">
      <c r="I122" s="15"/>
    </row>
    <row r="123" spans="9:9" s="10" customFormat="1" x14ac:dyDescent="0.3">
      <c r="I123" s="15"/>
    </row>
    <row r="124" spans="9:9" s="10" customFormat="1" x14ac:dyDescent="0.3">
      <c r="I124" s="15"/>
    </row>
    <row r="125" spans="9:9" s="10" customFormat="1" x14ac:dyDescent="0.3">
      <c r="I125" s="15"/>
    </row>
    <row r="126" spans="9:9" s="10" customFormat="1" x14ac:dyDescent="0.3">
      <c r="I126" s="15"/>
    </row>
    <row r="127" spans="9:9" s="10" customFormat="1" x14ac:dyDescent="0.3">
      <c r="I127" s="15"/>
    </row>
    <row r="128" spans="9:9" s="10" customFormat="1" x14ac:dyDescent="0.3">
      <c r="I128" s="15"/>
    </row>
    <row r="129" spans="9:9" s="10" customFormat="1" x14ac:dyDescent="0.3">
      <c r="I129" s="15"/>
    </row>
    <row r="130" spans="9:9" s="10" customFormat="1" x14ac:dyDescent="0.3">
      <c r="I130" s="15"/>
    </row>
    <row r="131" spans="9:9" s="10" customFormat="1" x14ac:dyDescent="0.3">
      <c r="I131" s="15"/>
    </row>
    <row r="132" spans="9:9" s="10" customFormat="1" x14ac:dyDescent="0.3">
      <c r="I132" s="15"/>
    </row>
    <row r="133" spans="9:9" s="10" customFormat="1" x14ac:dyDescent="0.3">
      <c r="I133" s="15"/>
    </row>
    <row r="134" spans="9:9" s="10" customFormat="1" x14ac:dyDescent="0.3">
      <c r="I134" s="15"/>
    </row>
    <row r="135" spans="9:9" s="10" customFormat="1" x14ac:dyDescent="0.3">
      <c r="I135" s="15"/>
    </row>
    <row r="136" spans="9:9" s="10" customFormat="1" x14ac:dyDescent="0.3">
      <c r="I136" s="15"/>
    </row>
    <row r="137" spans="9:9" s="10" customFormat="1" x14ac:dyDescent="0.3">
      <c r="I137" s="15"/>
    </row>
    <row r="138" spans="9:9" s="10" customFormat="1" x14ac:dyDescent="0.3">
      <c r="I138" s="15"/>
    </row>
    <row r="139" spans="9:9" s="10" customFormat="1" x14ac:dyDescent="0.3">
      <c r="I139" s="15"/>
    </row>
    <row r="140" spans="9:9" s="10" customFormat="1" x14ac:dyDescent="0.3">
      <c r="I140" s="15"/>
    </row>
    <row r="141" spans="9:9" s="10" customFormat="1" x14ac:dyDescent="0.3">
      <c r="I141" s="15"/>
    </row>
    <row r="142" spans="9:9" s="10" customFormat="1" x14ac:dyDescent="0.3">
      <c r="I142" s="15"/>
    </row>
    <row r="143" spans="9:9" s="10" customFormat="1" x14ac:dyDescent="0.3">
      <c r="I143" s="15"/>
    </row>
    <row r="144" spans="9:9" s="10" customFormat="1" x14ac:dyDescent="0.3">
      <c r="I144" s="15"/>
    </row>
    <row r="145" spans="9:9" s="10" customFormat="1" x14ac:dyDescent="0.3">
      <c r="I145" s="15"/>
    </row>
    <row r="146" spans="9:9" s="10" customFormat="1" x14ac:dyDescent="0.3">
      <c r="I146" s="15"/>
    </row>
    <row r="147" spans="9:9" s="10" customFormat="1" x14ac:dyDescent="0.3">
      <c r="I147" s="15"/>
    </row>
    <row r="148" spans="9:9" s="10" customFormat="1" x14ac:dyDescent="0.3">
      <c r="I148" s="15"/>
    </row>
    <row r="149" spans="9:9" s="10" customFormat="1" x14ac:dyDescent="0.3">
      <c r="I149" s="15"/>
    </row>
    <row r="150" spans="9:9" s="10" customFormat="1" x14ac:dyDescent="0.3">
      <c r="I150" s="15"/>
    </row>
    <row r="151" spans="9:9" s="10" customFormat="1" x14ac:dyDescent="0.3">
      <c r="I151" s="15"/>
    </row>
    <row r="152" spans="9:9" s="10" customFormat="1" x14ac:dyDescent="0.3">
      <c r="I152" s="15"/>
    </row>
    <row r="153" spans="9:9" s="10" customFormat="1" x14ac:dyDescent="0.3">
      <c r="I153" s="15"/>
    </row>
    <row r="154" spans="9:9" s="10" customFormat="1" x14ac:dyDescent="0.3">
      <c r="I154" s="15"/>
    </row>
    <row r="155" spans="9:9" s="10" customFormat="1" x14ac:dyDescent="0.3">
      <c r="I155" s="15"/>
    </row>
    <row r="156" spans="9:9" s="10" customFormat="1" x14ac:dyDescent="0.3">
      <c r="I156" s="15"/>
    </row>
    <row r="157" spans="9:9" s="10" customFormat="1" x14ac:dyDescent="0.3">
      <c r="I157" s="15"/>
    </row>
    <row r="158" spans="9:9" s="10" customFormat="1" x14ac:dyDescent="0.3">
      <c r="I158" s="15"/>
    </row>
    <row r="159" spans="9:9" s="10" customFormat="1" x14ac:dyDescent="0.3">
      <c r="I159" s="15"/>
    </row>
    <row r="160" spans="9:9" s="10" customFormat="1" x14ac:dyDescent="0.3">
      <c r="I160" s="15"/>
    </row>
    <row r="161" spans="9:9" s="10" customFormat="1" x14ac:dyDescent="0.3">
      <c r="I161" s="15"/>
    </row>
    <row r="162" spans="9:9" s="10" customFormat="1" x14ac:dyDescent="0.3">
      <c r="I162" s="15"/>
    </row>
    <row r="163" spans="9:9" s="10" customFormat="1" x14ac:dyDescent="0.3">
      <c r="I163" s="15"/>
    </row>
    <row r="164" spans="9:9" s="10" customFormat="1" x14ac:dyDescent="0.3">
      <c r="I164" s="15"/>
    </row>
    <row r="165" spans="9:9" s="10" customFormat="1" x14ac:dyDescent="0.3">
      <c r="I165" s="15"/>
    </row>
    <row r="166" spans="9:9" s="10" customFormat="1" x14ac:dyDescent="0.3">
      <c r="I166" s="15"/>
    </row>
    <row r="167" spans="9:9" s="10" customFormat="1" x14ac:dyDescent="0.3">
      <c r="I167" s="15"/>
    </row>
    <row r="168" spans="9:9" s="10" customFormat="1" x14ac:dyDescent="0.3">
      <c r="I168" s="15"/>
    </row>
    <row r="169" spans="9:9" s="10" customFormat="1" x14ac:dyDescent="0.3">
      <c r="I169" s="15"/>
    </row>
    <row r="170" spans="9:9" s="10" customFormat="1" x14ac:dyDescent="0.3">
      <c r="I170" s="15"/>
    </row>
    <row r="171" spans="9:9" s="10" customFormat="1" x14ac:dyDescent="0.3">
      <c r="I171" s="15"/>
    </row>
    <row r="172" spans="9:9" s="10" customFormat="1" x14ac:dyDescent="0.3">
      <c r="I172" s="15"/>
    </row>
    <row r="173" spans="9:9" s="10" customFormat="1" x14ac:dyDescent="0.3">
      <c r="I173" s="15"/>
    </row>
    <row r="174" spans="9:9" s="10" customFormat="1" x14ac:dyDescent="0.3">
      <c r="I174" s="15"/>
    </row>
    <row r="175" spans="9:9" s="10" customFormat="1" x14ac:dyDescent="0.3">
      <c r="I175" s="15"/>
    </row>
    <row r="176" spans="9:9" s="10" customFormat="1" x14ac:dyDescent="0.3">
      <c r="I176" s="15"/>
    </row>
    <row r="177" spans="9:9" s="10" customFormat="1" x14ac:dyDescent="0.3">
      <c r="I177" s="15"/>
    </row>
    <row r="178" spans="9:9" s="10" customFormat="1" x14ac:dyDescent="0.3">
      <c r="I178" s="15"/>
    </row>
    <row r="179" spans="9:9" s="10" customFormat="1" x14ac:dyDescent="0.3">
      <c r="I179" s="15"/>
    </row>
    <row r="180" spans="9:9" s="10" customFormat="1" x14ac:dyDescent="0.3">
      <c r="I180" s="15"/>
    </row>
    <row r="181" spans="9:9" s="10" customFormat="1" x14ac:dyDescent="0.3">
      <c r="I181" s="15"/>
    </row>
    <row r="182" spans="9:9" s="10" customFormat="1" x14ac:dyDescent="0.3">
      <c r="I182" s="15"/>
    </row>
    <row r="183" spans="9:9" s="10" customFormat="1" x14ac:dyDescent="0.3">
      <c r="I183" s="15"/>
    </row>
    <row r="184" spans="9:9" s="10" customFormat="1" x14ac:dyDescent="0.3">
      <c r="I184" s="15"/>
    </row>
    <row r="185" spans="9:9" s="10" customFormat="1" x14ac:dyDescent="0.3">
      <c r="I185" s="15"/>
    </row>
    <row r="186" spans="9:9" s="10" customFormat="1" x14ac:dyDescent="0.3">
      <c r="I186" s="15"/>
    </row>
    <row r="187" spans="9:9" s="10" customFormat="1" x14ac:dyDescent="0.3">
      <c r="I187" s="15"/>
    </row>
    <row r="188" spans="9:9" s="10" customFormat="1" x14ac:dyDescent="0.3">
      <c r="I188" s="15"/>
    </row>
    <row r="189" spans="9:9" s="10" customFormat="1" x14ac:dyDescent="0.3">
      <c r="I189" s="15"/>
    </row>
    <row r="190" spans="9:9" s="10" customFormat="1" x14ac:dyDescent="0.3">
      <c r="I190" s="15"/>
    </row>
    <row r="191" spans="9:9" s="10" customFormat="1" x14ac:dyDescent="0.3">
      <c r="I191" s="15"/>
    </row>
    <row r="192" spans="9:9" s="10" customFormat="1" x14ac:dyDescent="0.3">
      <c r="I192" s="15"/>
    </row>
    <row r="193" spans="9:9" s="10" customFormat="1" x14ac:dyDescent="0.3">
      <c r="I193" s="15"/>
    </row>
    <row r="194" spans="9:9" s="10" customFormat="1" x14ac:dyDescent="0.3">
      <c r="I194" s="15"/>
    </row>
    <row r="195" spans="9:9" s="10" customFormat="1" x14ac:dyDescent="0.3">
      <c r="I195" s="15"/>
    </row>
    <row r="196" spans="9:9" s="10" customFormat="1" x14ac:dyDescent="0.3">
      <c r="I196" s="15"/>
    </row>
    <row r="197" spans="9:9" s="10" customFormat="1" x14ac:dyDescent="0.3">
      <c r="I197" s="15"/>
    </row>
    <row r="198" spans="9:9" s="10" customFormat="1" x14ac:dyDescent="0.3">
      <c r="I198" s="15"/>
    </row>
    <row r="199" spans="9:9" s="10" customFormat="1" x14ac:dyDescent="0.3">
      <c r="I199" s="15"/>
    </row>
    <row r="200" spans="9:9" s="10" customFormat="1" x14ac:dyDescent="0.3">
      <c r="I200" s="15"/>
    </row>
    <row r="201" spans="9:9" s="10" customFormat="1" x14ac:dyDescent="0.3">
      <c r="I201" s="15"/>
    </row>
    <row r="202" spans="9:9" s="10" customFormat="1" x14ac:dyDescent="0.3">
      <c r="I202" s="15"/>
    </row>
    <row r="203" spans="9:9" s="10" customFormat="1" x14ac:dyDescent="0.3">
      <c r="I203" s="15"/>
    </row>
    <row r="204" spans="9:9" s="10" customFormat="1" x14ac:dyDescent="0.3">
      <c r="I204" s="15"/>
    </row>
    <row r="205" spans="9:9" s="10" customFormat="1" x14ac:dyDescent="0.3">
      <c r="I205" s="15"/>
    </row>
    <row r="206" spans="9:9" s="10" customFormat="1" x14ac:dyDescent="0.3">
      <c r="I206" s="15"/>
    </row>
    <row r="207" spans="9:9" s="10" customFormat="1" x14ac:dyDescent="0.3">
      <c r="I207" s="15"/>
    </row>
    <row r="208" spans="9:9" s="10" customFormat="1" x14ac:dyDescent="0.3">
      <c r="I208" s="15"/>
    </row>
    <row r="209" spans="9:9" s="10" customFormat="1" x14ac:dyDescent="0.3">
      <c r="I209" s="15"/>
    </row>
    <row r="210" spans="9:9" s="10" customFormat="1" x14ac:dyDescent="0.3">
      <c r="I210" s="15"/>
    </row>
    <row r="211" spans="9:9" s="10" customFormat="1" x14ac:dyDescent="0.3">
      <c r="I211" s="15"/>
    </row>
    <row r="212" spans="9:9" s="10" customFormat="1" x14ac:dyDescent="0.3">
      <c r="I212" s="15"/>
    </row>
    <row r="213" spans="9:9" s="10" customFormat="1" x14ac:dyDescent="0.3">
      <c r="I213" s="15"/>
    </row>
    <row r="214" spans="9:9" s="10" customFormat="1" x14ac:dyDescent="0.3">
      <c r="I214" s="15"/>
    </row>
    <row r="215" spans="9:9" s="10" customFormat="1" x14ac:dyDescent="0.3">
      <c r="I215" s="15"/>
    </row>
    <row r="216" spans="9:9" s="10" customFormat="1" x14ac:dyDescent="0.3">
      <c r="I216" s="15"/>
    </row>
    <row r="217" spans="9:9" s="10" customFormat="1" x14ac:dyDescent="0.3">
      <c r="I217" s="15"/>
    </row>
    <row r="218" spans="9:9" s="10" customFormat="1" x14ac:dyDescent="0.3">
      <c r="I218" s="15"/>
    </row>
  </sheetData>
  <sheetProtection algorithmName="SHA-512" hashValue="m1ZOXQEi/5tT53PsQy7mJG881VLkGgY31bsFWw+yTb7APQrBUhEaRDZgS5M8VdenugsBoeg3Mae5ydnicFi8Lw==" saltValue="qxozItaGdDRtYBuEFeLJTA==" spinCount="100000" sheet="1" formatColumns="0" formatRows="0" insertRows="0"/>
  <mergeCells count="36">
    <mergeCell ref="C2:H2"/>
    <mergeCell ref="C9:H9"/>
    <mergeCell ref="C29:H29"/>
    <mergeCell ref="C20:H20"/>
    <mergeCell ref="C3:H3"/>
    <mergeCell ref="C4:H4"/>
    <mergeCell ref="C21:H21"/>
    <mergeCell ref="C18:G18"/>
    <mergeCell ref="C11:G11"/>
    <mergeCell ref="C22:G22"/>
    <mergeCell ref="C23:G23"/>
    <mergeCell ref="C24:G24"/>
    <mergeCell ref="C25:G25"/>
    <mergeCell ref="C6:G6"/>
    <mergeCell ref="C7:G7"/>
    <mergeCell ref="C16:G16"/>
    <mergeCell ref="C17:G17"/>
    <mergeCell ref="C5:G5"/>
    <mergeCell ref="C10:G10"/>
    <mergeCell ref="I12:I18"/>
    <mergeCell ref="C38:H38"/>
    <mergeCell ref="C12:G12"/>
    <mergeCell ref="C13:G13"/>
    <mergeCell ref="C14:G14"/>
    <mergeCell ref="C36:H36"/>
    <mergeCell ref="C37:H37"/>
    <mergeCell ref="C26:G26"/>
    <mergeCell ref="I22:I26"/>
    <mergeCell ref="C15:G15"/>
    <mergeCell ref="C27:G27"/>
    <mergeCell ref="C30:G30"/>
    <mergeCell ref="A31:A33"/>
    <mergeCell ref="B31:B33"/>
    <mergeCell ref="C33:G33"/>
    <mergeCell ref="C31:G31"/>
    <mergeCell ref="C32:G32"/>
  </mergeCells>
  <phoneticPr fontId="3" type="noConversion"/>
  <conditionalFormatting sqref="H6:H7">
    <cfRule type="expression" dxfId="101" priority="7">
      <formula>$H$5=TRUE</formula>
    </cfRule>
  </conditionalFormatting>
  <conditionalFormatting sqref="H12:H16">
    <cfRule type="expression" dxfId="100" priority="6">
      <formula>$H$10=TRUE</formula>
    </cfRule>
  </conditionalFormatting>
  <conditionalFormatting sqref="H18">
    <cfRule type="expression" dxfId="99" priority="5">
      <formula>$H$10=TRUE</formula>
    </cfRule>
  </conditionalFormatting>
  <conditionalFormatting sqref="H31:H32">
    <cfRule type="expression" dxfId="98" priority="4">
      <formula>$H$30=TRUE</formula>
    </cfRule>
  </conditionalFormatting>
  <conditionalFormatting sqref="I6:I7">
    <cfRule type="expression" dxfId="97" priority="3">
      <formula>$I6=template_label_missing_value</formula>
    </cfRule>
    <cfRule type="expression" dxfId="96" priority="25">
      <formula>$I6=template_label_ok</formula>
    </cfRule>
  </conditionalFormatting>
  <conditionalFormatting sqref="I12:I18">
    <cfRule type="expression" dxfId="95" priority="1">
      <formula>$I$12=template_label_missing_value</formula>
    </cfRule>
    <cfRule type="expression" dxfId="94" priority="11">
      <formula>$I$12=template_label_value_inconsistency</formula>
    </cfRule>
    <cfRule type="expression" dxfId="93" priority="12">
      <formula>$I$12=template_label_ok</formula>
    </cfRule>
  </conditionalFormatting>
  <conditionalFormatting sqref="I22">
    <cfRule type="expression" dxfId="92" priority="8">
      <formula>$I$22=template_label_ok</formula>
    </cfRule>
    <cfRule type="expression" dxfId="91" priority="9">
      <formula>$I$22=template_label_missing_value</formula>
    </cfRule>
  </conditionalFormatting>
  <conditionalFormatting sqref="I27">
    <cfRule type="expression" dxfId="90" priority="18">
      <formula>$I$27="OK"</formula>
    </cfRule>
  </conditionalFormatting>
  <conditionalFormatting sqref="I30:I32">
    <cfRule type="expression" dxfId="89" priority="17">
      <formula>$I30=template_label_ok</formula>
    </cfRule>
  </conditionalFormatting>
  <conditionalFormatting sqref="I31:I32">
    <cfRule type="expression" dxfId="88" priority="2">
      <formula>$I31=template_label_missing_value</formula>
    </cfRule>
  </conditionalFormatting>
  <conditionalFormatting sqref="I38">
    <cfRule type="expression" dxfId="87" priority="10">
      <formula>$I$38=template_label_ok</formula>
    </cfRule>
  </conditionalFormatting>
  <dataValidations count="11">
    <dataValidation type="decimal" operator="equal" allowBlank="1" showInputMessage="1" showErrorMessage="1" sqref="H7" xr:uid="{6F872197-207D-42B9-A398-224136E9C3BE}">
      <formula1>H7</formula1>
    </dataValidation>
    <dataValidation type="whole" operator="equal" allowBlank="1" showInputMessage="1" showErrorMessage="1" sqref="H6 H31:H32" xr:uid="{BDA32504-9D53-471A-AB25-BD511E13155A}">
      <formula1>H6</formula1>
    </dataValidation>
    <dataValidation type="custom" showInputMessage="1" showErrorMessage="1" sqref="H24" xr:uid="{6855C78C-CF3E-4396-8813-563BA331F905}">
      <formula1>IF(H26=TRUE, FALSE, TRUE)</formula1>
    </dataValidation>
    <dataValidation type="custom" allowBlank="1" showInputMessage="1" showErrorMessage="1" sqref="H25" xr:uid="{5D8F047D-379E-481F-9B48-E72E8A36EBA3}">
      <formula1>IF(H26=TRUE, FALSE, TRUE)</formula1>
    </dataValidation>
    <dataValidation allowBlank="1" showInputMessage="1" showErrorMessage="1" promptTitle="Board gender diversity ratio" prompt="number of female board members / number of male board members" sqref="C33:G33" xr:uid="{13819AD4-B21A-4575-89EF-B9AD3B7EB561}"/>
    <dataValidation type="custom" showInputMessage="1" showErrorMessage="1" sqref="H22" xr:uid="{F98804C1-5D5A-4769-AD2B-312152F69373}">
      <formula1>IF(H26=TRUE, FALSE, TRUE)</formula1>
    </dataValidation>
    <dataValidation type="custom" showInputMessage="1" showErrorMessage="1" sqref="H26" xr:uid="{3DB3CBF6-ED39-4573-8FD1-8B9BD249A779}">
      <formula1>IF(OR(H22=TRUE, H23=TRUE, H24=TRUE, H25=TRUE), H26=FALSE, TRUE)</formula1>
    </dataValidation>
    <dataValidation type="custom" showInputMessage="1" showErrorMessage="1" sqref="H23" xr:uid="{98C61BCE-755A-47DC-814B-18797D932240}">
      <formula1>IF(H26=TRUE, FALSE, TRUE)</formula1>
    </dataValidation>
    <dataValidation type="custom" showInputMessage="1" showErrorMessage="1" sqref="H11" xr:uid="{8A01336C-2998-40B9-9A10-C1CACA56A005}">
      <formula1>IF(H16=TRUE, FALSE, TRUE)</formula1>
    </dataValidation>
    <dataValidation type="custom" showInputMessage="1" showErrorMessage="1" sqref="H5 H10 H30" xr:uid="{5251F65C-302B-430B-9A74-3504B0782C15}">
      <formula1>OR(H5=TRUE,H5=FALSE)</formula1>
    </dataValidation>
    <dataValidation type="custom" allowBlank="1" showInputMessage="1" showErrorMessage="1" sqref="H33" xr:uid="{E5944E2C-49E3-4DA6-B2BA-149B494EA43B}">
      <formula1>IF(AND(H31&lt;&gt;"",H32&lt;&gt;""),IF(OR(H31=0,H32=0),0,H31/H32),"-")</formula1>
    </dataValidation>
  </dataValidations>
  <hyperlinks>
    <hyperlink ref="C3:H3" r:id="rId1" display="https://knowledgehub.efrag.org/eng/interactive/vsme/vsme-standard-annex-i/2025-07-30-ec-rec/43" xr:uid="{5C273843-B5E6-42DB-9670-7C6BB42A5F73}"/>
    <hyperlink ref="C4:H4" r:id="rId2" display="141-144" xr:uid="{11BA0F65-4956-4F5C-90EB-F43147267128}"/>
    <hyperlink ref="A12" r:id="rId3" xr:uid="{C615F7D8-42B9-4D7A-AB63-8A75DF01EBEB}"/>
    <hyperlink ref="A13" r:id="rId4" xr:uid="{798A25F5-A749-4655-90C2-2185BFE0067E}"/>
    <hyperlink ref="A14" r:id="rId5" xr:uid="{770F93F1-F6E8-4E9E-BAA7-5C9ABF6B4B01}"/>
    <hyperlink ref="A15" r:id="rId6" xr:uid="{6FB9FC4C-1074-422B-B317-B47DE0064933}"/>
    <hyperlink ref="A16" r:id="rId7" xr:uid="{211A04EC-70E3-4649-8C75-3660A6682B4A}"/>
    <hyperlink ref="A17" r:id="rId8" xr:uid="{F281EA38-9C68-4F1D-939B-99CA89386DA0}"/>
    <hyperlink ref="A18" r:id="rId9" xr:uid="{A051D2F5-FDD0-4ECB-B06B-593D1E9E6D4E}"/>
    <hyperlink ref="A22" r:id="rId10" display="https://knowledgehub.efrag.org/eng/interactive/vsme/vsme-standard-annex-i/2025-07-30-ec-rec/64" xr:uid="{E444AC1D-854A-4E70-899E-C8FF509AAE57}"/>
    <hyperlink ref="A23" r:id="rId11" display="https://knowledgehub.efrag.org/eng/interactive/vsme/vsme-standard-annex-i/2025-07-30-ec-rec/64" xr:uid="{992A5209-B030-4A5E-A74A-67BFF3F519BE}"/>
    <hyperlink ref="A24" r:id="rId12" display="https://knowledgehub.efrag.org/eng/interactive/vsme/vsme-standard-annex-i/2025-07-30-ec-rec/64" xr:uid="{CE68D876-98D7-4EAE-BFB7-6E115CCE2855}"/>
    <hyperlink ref="A25" r:id="rId13" display="https://knowledgehub.efrag.org/eng/interactive/vsme/vsme-standard-annex-i/2025-07-30-ec-rec/64" xr:uid="{6EF0616F-BC2D-4E90-AFDF-98A16D26768E}"/>
    <hyperlink ref="A27" r:id="rId14" display="https://knowledgehub.efrag.org/eng/interactive/vsme/vsme-standard-annex-i/2025-07-30-ec-rec/64" xr:uid="{70A6B6F6-3AC2-4C6B-AC30-716FF9614E10}"/>
    <hyperlink ref="B12" r:id="rId15" xr:uid="{4E9A140F-EB0D-44CB-8012-8E3BA7C3090B}"/>
    <hyperlink ref="B13" r:id="rId16" xr:uid="{E999832E-2432-4A53-AD00-34F525782D88}"/>
    <hyperlink ref="B14" r:id="rId17" xr:uid="{5A65345E-5F8B-4785-AD4C-5BDA54B95A0C}"/>
    <hyperlink ref="B15" r:id="rId18" xr:uid="{AADB7E26-1A5C-4062-BAC9-CF631014EB9B}"/>
    <hyperlink ref="B16" r:id="rId19" xr:uid="{3AD79EC2-9F5C-44C0-97D1-1143589C6C6C}"/>
    <hyperlink ref="B17" r:id="rId20" xr:uid="{5B873AD0-2F20-4755-8CD9-33FCE84FD08E}"/>
    <hyperlink ref="B18" r:id="rId21" xr:uid="{9BCB486C-316F-4243-8705-5C946F0956E1}"/>
    <hyperlink ref="B22" r:id="rId22" xr:uid="{58918687-A7E1-461F-AFAF-31F719FC21A2}"/>
    <hyperlink ref="B23" r:id="rId23" xr:uid="{EB8A91BC-122D-4930-AEDA-69658F2BC466}"/>
    <hyperlink ref="B24" r:id="rId24" xr:uid="{2EBCAC9F-E6DE-4418-BBC9-2F0E9E146865}"/>
    <hyperlink ref="B25" r:id="rId25" xr:uid="{A3CE9EEE-3E35-4F0A-86C3-8798C1520C21}"/>
    <hyperlink ref="B27" r:id="rId26" display="https://knowledgehub.efrag.org/eng/interactive/vsme/vsme-guidance-annex-ii/2025-07-30-ec-rec/177/d" xr:uid="{2B9D97F6-985D-40FA-B780-ECD2CFF36301}"/>
    <hyperlink ref="A31:A33" r:id="rId27" display="https://knowledgehub.efrag.org/eng/interactive/vsme/vsme-standard-annex-i/2025-07-30-ec-rec/65" xr:uid="{32BF398F-D410-49C5-9061-5F351D87144D}"/>
    <hyperlink ref="B31:B33" r:id="rId28" display="178-180" xr:uid="{D486EE02-3CA2-4D41-BA8C-DA59B99882DD}"/>
    <hyperlink ref="C37:H37" r:id="rId29" display="https://knowledgehub.efrag.org/eng/interactive/vsme/vsme-standard-annex-i/2025-07-30-ec-rec/10" xr:uid="{5C9FBD30-6F73-4646-888D-328CDB80F4BE}"/>
  </hyperlinks>
  <pageMargins left="0.7" right="0.7" top="0.75" bottom="0.75" header="0.3" footer="0.3"/>
  <drawing r:id="rId30"/>
  <extLst>
    <ext xmlns:x14="http://schemas.microsoft.com/office/spreadsheetml/2009/9/main" uri="{CCE6A557-97BC-4b89-ADB6-D9C93CAAB3DF}">
      <x14:dataValidations xmlns:xm="http://schemas.microsoft.com/office/excel/2006/main" count="2">
        <x14:dataValidation type="custom" showInputMessage="1" showErrorMessage="1" xr:uid="{B00077E6-D227-4F5B-A4C9-0C9DBAF0147A}">
          <x14:formula1>
            <xm:f>($H$12+$H$13+$H$14+$H$18)&lt;='General Information'!$E$283</xm:f>
          </x14:formula1>
          <xm:sqref>H17</xm:sqref>
        </x14:dataValidation>
        <x14:dataValidation type="custom" showInputMessage="1" showErrorMessage="1" xr:uid="{F6328591-2F0B-4688-A58B-FE2019B26C27}">
          <x14:formula1>
            <xm:f>($H$12+$H$13+$H$14+$H$15+$H$16+$H$18)&lt;='General Information'!$E$283</xm:f>
          </x14:formula1>
          <xm:sqref>H18 H12:H16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43510-1707-4513-9F6C-140BFDB8876A}">
  <dimension ref="A1:Q1525"/>
  <sheetViews>
    <sheetView zoomScaleNormal="100" workbookViewId="0"/>
  </sheetViews>
  <sheetFormatPr baseColWidth="10" defaultColWidth="8.88671875" defaultRowHeight="14.4" outlineLevelRow="2" outlineLevelCol="1" x14ac:dyDescent="0.3"/>
  <cols>
    <col min="1" max="1" width="6.33203125" style="10" bestFit="1" customWidth="1"/>
    <col min="2" max="2" width="93.88671875" style="10" customWidth="1"/>
    <col min="3" max="3" width="38.33203125" style="10" hidden="1" customWidth="1" outlineLevel="1"/>
    <col min="4" max="4" width="86.88671875" style="10" customWidth="1" collapsed="1"/>
    <col min="5" max="8" width="8.88671875" style="10"/>
    <col min="9" max="17" width="8.88671875" style="10" customWidth="1"/>
    <col min="18" max="16384" width="8.88671875" style="10"/>
  </cols>
  <sheetData>
    <row r="1" spans="2:17" ht="37.200000000000003" customHeight="1" x14ac:dyDescent="0.3">
      <c r="B1" s="1124" t="str">
        <f>template_label_footnote_instructions</f>
        <v>Si vous devez ajouter des notes de bas de page pour le modèle numérique VSME converti, veuillez sélectionner les divulgations dans la colonne E et écrire la note de bas de page correspondante dans la colonne C.</v>
      </c>
      <c r="C1" s="1125"/>
      <c r="D1" s="1126"/>
      <c r="E1" s="547"/>
      <c r="F1" s="547"/>
      <c r="G1" s="547"/>
      <c r="H1" s="547"/>
      <c r="I1" s="547"/>
      <c r="J1" s="547"/>
      <c r="K1" s="547"/>
      <c r="L1" s="547"/>
      <c r="M1" s="547"/>
      <c r="N1" s="547"/>
      <c r="O1" s="547"/>
      <c r="P1" s="547"/>
      <c r="Q1" s="547"/>
    </row>
    <row r="2" spans="2:17" ht="19.2" customHeight="1" thickBot="1" x14ac:dyDescent="0.35">
      <c r="B2" s="1127" t="str">
        <f>template_label_buttons_footnotes</f>
        <v>ℹ️ Si nécessaire, les boutons d’extension de gauche peuvent être utilisés pour augmenter le nombre de lignes et associer la même note de bas de page à plusieurs divulgations</v>
      </c>
      <c r="C2" s="1128"/>
      <c r="D2" s="1129"/>
      <c r="E2" s="547"/>
      <c r="F2" s="547"/>
      <c r="G2" s="547"/>
      <c r="H2" s="547"/>
      <c r="I2" s="547"/>
      <c r="J2" s="547"/>
      <c r="K2" s="547"/>
      <c r="L2" s="547"/>
      <c r="M2" s="547"/>
      <c r="N2" s="547"/>
      <c r="O2" s="547"/>
      <c r="P2" s="547"/>
      <c r="Q2" s="547"/>
    </row>
    <row r="3" spans="2:17" ht="15" thickBot="1" x14ac:dyDescent="0.35">
      <c r="B3" s="546" t="str">
        <f>template_label_footnote_text</f>
        <v>Texte de la note de bas de page</v>
      </c>
      <c r="C3" s="546" t="str">
        <f>template_footnote_technical_name</f>
        <v>Dimension (nom technique)</v>
      </c>
      <c r="D3" s="546" t="str">
        <f>template_label_disclosure_selection</f>
        <v>Cellule à laquelle la note de bas de page est associée</v>
      </c>
    </row>
    <row r="4" spans="2:17" x14ac:dyDescent="0.3">
      <c r="B4" s="1132"/>
      <c r="C4" s="569"/>
      <c r="D4" s="570"/>
      <c r="E4" s="1130"/>
      <c r="F4" s="1131"/>
      <c r="G4" s="1131"/>
      <c r="H4" s="1131"/>
      <c r="I4" s="1131"/>
      <c r="J4" s="1131"/>
      <c r="K4" s="1131"/>
      <c r="L4" s="1131"/>
      <c r="M4" s="1131"/>
      <c r="N4" s="1131"/>
      <c r="O4" s="1131"/>
      <c r="P4" s="1131"/>
      <c r="Q4" s="1131"/>
    </row>
    <row r="5" spans="2:17" hidden="1" outlineLevel="1" x14ac:dyDescent="0.3">
      <c r="B5" s="1132"/>
      <c r="C5" s="569"/>
      <c r="D5" s="570"/>
      <c r="E5" s="1130"/>
      <c r="F5" s="1131"/>
      <c r="G5" s="1131"/>
      <c r="H5" s="1131"/>
      <c r="I5" s="1131"/>
      <c r="J5" s="1131"/>
      <c r="K5" s="1131"/>
      <c r="L5" s="1131"/>
      <c r="M5" s="1131"/>
      <c r="N5" s="1131"/>
      <c r="O5" s="1131"/>
      <c r="P5" s="1131"/>
      <c r="Q5" s="1131"/>
    </row>
    <row r="6" spans="2:17" hidden="1" outlineLevel="1" x14ac:dyDescent="0.3">
      <c r="B6" s="1132"/>
      <c r="C6" s="569"/>
      <c r="D6" s="570"/>
      <c r="E6" s="1130"/>
      <c r="F6" s="1131"/>
      <c r="G6" s="1131"/>
      <c r="H6" s="1131"/>
      <c r="I6" s="1131"/>
      <c r="J6" s="1131"/>
      <c r="K6" s="1131"/>
      <c r="L6" s="1131"/>
      <c r="M6" s="1131"/>
      <c r="N6" s="1131"/>
      <c r="O6" s="1131"/>
      <c r="P6" s="1131"/>
      <c r="Q6" s="1131"/>
    </row>
    <row r="7" spans="2:17" hidden="1" outlineLevel="1" x14ac:dyDescent="0.3">
      <c r="B7" s="1132"/>
      <c r="C7" s="569"/>
      <c r="D7" s="570"/>
      <c r="E7" s="1130"/>
      <c r="F7" s="1131"/>
      <c r="G7" s="1131"/>
      <c r="H7" s="1131"/>
      <c r="I7" s="1131"/>
      <c r="J7" s="1131"/>
      <c r="K7" s="1131"/>
      <c r="L7" s="1131"/>
      <c r="M7" s="1131"/>
      <c r="N7" s="1131"/>
      <c r="O7" s="1131"/>
      <c r="P7" s="1131"/>
      <c r="Q7" s="1131"/>
    </row>
    <row r="8" spans="2:17" hidden="1" outlineLevel="1" x14ac:dyDescent="0.3">
      <c r="B8" s="1132"/>
      <c r="C8" s="569"/>
      <c r="D8" s="570"/>
      <c r="E8" s="1130"/>
      <c r="F8" s="1131"/>
      <c r="G8" s="1131"/>
      <c r="H8" s="1131"/>
      <c r="I8" s="1131"/>
      <c r="J8" s="1131"/>
      <c r="K8" s="1131"/>
      <c r="L8" s="1131"/>
      <c r="M8" s="1131"/>
      <c r="N8" s="1131"/>
      <c r="O8" s="1131"/>
      <c r="P8" s="1131"/>
      <c r="Q8" s="1131"/>
    </row>
    <row r="9" spans="2:17" hidden="1" outlineLevel="1" x14ac:dyDescent="0.3">
      <c r="B9" s="1132"/>
      <c r="C9" s="569"/>
      <c r="D9" s="570"/>
      <c r="E9" s="1130"/>
      <c r="F9" s="1131"/>
      <c r="G9" s="1131"/>
      <c r="H9" s="1131"/>
      <c r="I9" s="1131"/>
      <c r="J9" s="1131"/>
      <c r="K9" s="1131"/>
      <c r="L9" s="1131"/>
      <c r="M9" s="1131"/>
      <c r="N9" s="1131"/>
      <c r="O9" s="1131"/>
      <c r="P9" s="1131"/>
      <c r="Q9" s="1131"/>
    </row>
    <row r="10" spans="2:17" hidden="1" outlineLevel="1" x14ac:dyDescent="0.3">
      <c r="B10" s="1132"/>
      <c r="C10" s="569"/>
      <c r="D10" s="570"/>
      <c r="E10" s="1130"/>
      <c r="F10" s="1131"/>
      <c r="G10" s="1131"/>
      <c r="H10" s="1131"/>
      <c r="I10" s="1131"/>
      <c r="J10" s="1131"/>
      <c r="K10" s="1131"/>
      <c r="L10" s="1131"/>
      <c r="M10" s="1131"/>
      <c r="N10" s="1131"/>
      <c r="O10" s="1131"/>
      <c r="P10" s="1131"/>
      <c r="Q10" s="1131"/>
    </row>
    <row r="11" spans="2:17" hidden="1" outlineLevel="1" x14ac:dyDescent="0.3">
      <c r="B11" s="1132"/>
      <c r="C11" s="569"/>
      <c r="D11" s="570"/>
      <c r="E11" s="1130"/>
      <c r="F11" s="1131"/>
      <c r="G11" s="1131"/>
      <c r="H11" s="1131"/>
      <c r="I11" s="1131"/>
      <c r="J11" s="1131"/>
      <c r="K11" s="1131"/>
      <c r="L11" s="1131"/>
      <c r="M11" s="1131"/>
      <c r="N11" s="1131"/>
      <c r="O11" s="1131"/>
      <c r="P11" s="1131"/>
      <c r="Q11" s="1131"/>
    </row>
    <row r="12" spans="2:17" hidden="1" outlineLevel="1" x14ac:dyDescent="0.3">
      <c r="B12" s="1132"/>
      <c r="C12" s="569"/>
      <c r="D12" s="570"/>
      <c r="E12" s="1130"/>
      <c r="F12" s="1131"/>
      <c r="G12" s="1131"/>
      <c r="H12" s="1131"/>
      <c r="I12" s="1131"/>
      <c r="J12" s="1131"/>
      <c r="K12" s="1131"/>
      <c r="L12" s="1131"/>
      <c r="M12" s="1131"/>
      <c r="N12" s="1131"/>
      <c r="O12" s="1131"/>
      <c r="P12" s="1131"/>
      <c r="Q12" s="1131"/>
    </row>
    <row r="13" spans="2:17" hidden="1" outlineLevel="1" x14ac:dyDescent="0.3">
      <c r="B13" s="1132"/>
      <c r="C13" s="569"/>
      <c r="D13" s="570"/>
      <c r="E13" s="1130"/>
      <c r="F13" s="1131"/>
      <c r="G13" s="1131"/>
      <c r="H13" s="1131"/>
      <c r="I13" s="1131"/>
      <c r="J13" s="1131"/>
      <c r="K13" s="1131"/>
      <c r="L13" s="1131"/>
      <c r="M13" s="1131"/>
      <c r="N13" s="1131"/>
      <c r="O13" s="1131"/>
      <c r="P13" s="1131"/>
      <c r="Q13" s="1131"/>
    </row>
    <row r="14" spans="2:17" collapsed="1" x14ac:dyDescent="0.3">
      <c r="B14" s="1132"/>
      <c r="C14" s="569"/>
      <c r="D14" s="570"/>
    </row>
    <row r="15" spans="2:17" hidden="1" outlineLevel="1" x14ac:dyDescent="0.3">
      <c r="B15" s="1132"/>
      <c r="C15" s="569"/>
      <c r="D15" s="570"/>
    </row>
    <row r="16" spans="2:17" hidden="1" outlineLevel="1" x14ac:dyDescent="0.3">
      <c r="B16" s="1132"/>
      <c r="C16" s="569"/>
      <c r="D16" s="570"/>
    </row>
    <row r="17" spans="2:4" hidden="1" outlineLevel="1" x14ac:dyDescent="0.3">
      <c r="B17" s="1132"/>
      <c r="C17" s="569"/>
      <c r="D17" s="570"/>
    </row>
    <row r="18" spans="2:4" hidden="1" outlineLevel="1" x14ac:dyDescent="0.3">
      <c r="B18" s="1132"/>
      <c r="C18" s="569"/>
      <c r="D18" s="570"/>
    </row>
    <row r="19" spans="2:4" hidden="1" outlineLevel="1" x14ac:dyDescent="0.3">
      <c r="B19" s="1132"/>
      <c r="C19" s="569"/>
      <c r="D19" s="570"/>
    </row>
    <row r="20" spans="2:4" hidden="1" outlineLevel="1" x14ac:dyDescent="0.3">
      <c r="B20" s="1132"/>
      <c r="C20" s="569"/>
      <c r="D20" s="570"/>
    </row>
    <row r="21" spans="2:4" hidden="1" outlineLevel="1" x14ac:dyDescent="0.3">
      <c r="B21" s="1132"/>
      <c r="C21" s="569"/>
      <c r="D21" s="570"/>
    </row>
    <row r="22" spans="2:4" hidden="1" outlineLevel="1" x14ac:dyDescent="0.3">
      <c r="B22" s="1132"/>
      <c r="C22" s="569"/>
      <c r="D22" s="570"/>
    </row>
    <row r="23" spans="2:4" hidden="1" outlineLevel="1" x14ac:dyDescent="0.3">
      <c r="B23" s="1132"/>
      <c r="C23" s="569"/>
      <c r="D23" s="570"/>
    </row>
    <row r="24" spans="2:4" collapsed="1" x14ac:dyDescent="0.3">
      <c r="B24" s="1132"/>
      <c r="C24" s="569"/>
      <c r="D24" s="570"/>
    </row>
    <row r="25" spans="2:4" hidden="1" outlineLevel="1" x14ac:dyDescent="0.3">
      <c r="B25" s="1132"/>
      <c r="C25" s="569"/>
      <c r="D25" s="570"/>
    </row>
    <row r="26" spans="2:4" hidden="1" outlineLevel="1" x14ac:dyDescent="0.3">
      <c r="B26" s="1132"/>
      <c r="C26" s="569"/>
      <c r="D26" s="570"/>
    </row>
    <row r="27" spans="2:4" hidden="1" outlineLevel="1" x14ac:dyDescent="0.3">
      <c r="B27" s="1132"/>
      <c r="C27" s="569"/>
      <c r="D27" s="570"/>
    </row>
    <row r="28" spans="2:4" hidden="1" outlineLevel="1" x14ac:dyDescent="0.3">
      <c r="B28" s="1132"/>
      <c r="C28" s="569"/>
      <c r="D28" s="570"/>
    </row>
    <row r="29" spans="2:4" hidden="1" outlineLevel="1" x14ac:dyDescent="0.3">
      <c r="B29" s="1132"/>
      <c r="C29" s="569"/>
      <c r="D29" s="570"/>
    </row>
    <row r="30" spans="2:4" hidden="1" outlineLevel="1" x14ac:dyDescent="0.3">
      <c r="B30" s="1132"/>
      <c r="C30" s="569"/>
      <c r="D30" s="570"/>
    </row>
    <row r="31" spans="2:4" hidden="1" outlineLevel="1" x14ac:dyDescent="0.3">
      <c r="B31" s="1132"/>
      <c r="C31" s="569"/>
      <c r="D31" s="570"/>
    </row>
    <row r="32" spans="2:4" hidden="1" outlineLevel="1" x14ac:dyDescent="0.3">
      <c r="B32" s="1132"/>
      <c r="C32" s="569"/>
      <c r="D32" s="570"/>
    </row>
    <row r="33" spans="2:4" hidden="1" outlineLevel="1" x14ac:dyDescent="0.3">
      <c r="B33" s="1132"/>
      <c r="C33" s="569"/>
      <c r="D33" s="570"/>
    </row>
    <row r="34" spans="2:4" collapsed="1" x14ac:dyDescent="0.3">
      <c r="B34" s="1132"/>
      <c r="C34" s="569"/>
      <c r="D34" s="570"/>
    </row>
    <row r="35" spans="2:4" hidden="1" outlineLevel="1" x14ac:dyDescent="0.3">
      <c r="B35" s="1132"/>
      <c r="C35" s="569"/>
      <c r="D35" s="570"/>
    </row>
    <row r="36" spans="2:4" hidden="1" outlineLevel="1" x14ac:dyDescent="0.3">
      <c r="B36" s="1132"/>
      <c r="C36" s="569"/>
      <c r="D36" s="570"/>
    </row>
    <row r="37" spans="2:4" hidden="1" outlineLevel="1" x14ac:dyDescent="0.3">
      <c r="B37" s="1132"/>
      <c r="C37" s="569"/>
      <c r="D37" s="570"/>
    </row>
    <row r="38" spans="2:4" hidden="1" outlineLevel="1" x14ac:dyDescent="0.3">
      <c r="B38" s="1132"/>
      <c r="C38" s="569"/>
      <c r="D38" s="570"/>
    </row>
    <row r="39" spans="2:4" hidden="1" outlineLevel="1" x14ac:dyDescent="0.3">
      <c r="B39" s="1132"/>
      <c r="C39" s="569"/>
      <c r="D39" s="570"/>
    </row>
    <row r="40" spans="2:4" hidden="1" outlineLevel="1" x14ac:dyDescent="0.3">
      <c r="B40" s="1132"/>
      <c r="C40" s="569"/>
      <c r="D40" s="570"/>
    </row>
    <row r="41" spans="2:4" hidden="1" outlineLevel="1" x14ac:dyDescent="0.3">
      <c r="B41" s="1132"/>
      <c r="C41" s="569"/>
      <c r="D41" s="570"/>
    </row>
    <row r="42" spans="2:4" hidden="1" outlineLevel="1" x14ac:dyDescent="0.3">
      <c r="B42" s="1132"/>
      <c r="C42" s="569"/>
      <c r="D42" s="570"/>
    </row>
    <row r="43" spans="2:4" hidden="1" outlineLevel="1" x14ac:dyDescent="0.3">
      <c r="B43" s="1132"/>
      <c r="C43" s="569"/>
      <c r="D43" s="570"/>
    </row>
    <row r="44" spans="2:4" collapsed="1" x14ac:dyDescent="0.3">
      <c r="B44" s="1132"/>
      <c r="C44" s="569"/>
      <c r="D44" s="570"/>
    </row>
    <row r="45" spans="2:4" hidden="1" outlineLevel="1" x14ac:dyDescent="0.3">
      <c r="B45" s="1132"/>
      <c r="C45" s="569"/>
      <c r="D45" s="570"/>
    </row>
    <row r="46" spans="2:4" hidden="1" outlineLevel="1" x14ac:dyDescent="0.3">
      <c r="B46" s="1132"/>
      <c r="C46" s="569"/>
      <c r="D46" s="570"/>
    </row>
    <row r="47" spans="2:4" hidden="1" outlineLevel="1" x14ac:dyDescent="0.3">
      <c r="B47" s="1132"/>
      <c r="C47" s="569"/>
      <c r="D47" s="570"/>
    </row>
    <row r="48" spans="2:4" hidden="1" outlineLevel="1" x14ac:dyDescent="0.3">
      <c r="B48" s="1132"/>
      <c r="C48" s="569"/>
      <c r="D48" s="570"/>
    </row>
    <row r="49" spans="2:4" hidden="1" outlineLevel="1" x14ac:dyDescent="0.3">
      <c r="B49" s="1132"/>
      <c r="C49" s="569"/>
      <c r="D49" s="570"/>
    </row>
    <row r="50" spans="2:4" hidden="1" outlineLevel="1" x14ac:dyDescent="0.3">
      <c r="B50" s="1132"/>
      <c r="C50" s="569"/>
      <c r="D50" s="570"/>
    </row>
    <row r="51" spans="2:4" hidden="1" outlineLevel="1" x14ac:dyDescent="0.3">
      <c r="B51" s="1132"/>
      <c r="C51" s="569"/>
      <c r="D51" s="570"/>
    </row>
    <row r="52" spans="2:4" hidden="1" outlineLevel="1" x14ac:dyDescent="0.3">
      <c r="B52" s="1132"/>
      <c r="C52" s="569"/>
      <c r="D52" s="570"/>
    </row>
    <row r="53" spans="2:4" hidden="1" outlineLevel="1" x14ac:dyDescent="0.3">
      <c r="B53" s="1132"/>
      <c r="C53" s="569"/>
      <c r="D53" s="570"/>
    </row>
    <row r="54" spans="2:4" collapsed="1" x14ac:dyDescent="0.3">
      <c r="B54" s="1132"/>
      <c r="C54" s="569"/>
      <c r="D54" s="570"/>
    </row>
    <row r="55" spans="2:4" hidden="1" outlineLevel="1" x14ac:dyDescent="0.3">
      <c r="B55" s="1132"/>
      <c r="C55" s="569"/>
      <c r="D55" s="570"/>
    </row>
    <row r="56" spans="2:4" hidden="1" outlineLevel="1" x14ac:dyDescent="0.3">
      <c r="B56" s="1132"/>
      <c r="C56" s="569"/>
      <c r="D56" s="570"/>
    </row>
    <row r="57" spans="2:4" hidden="1" outlineLevel="1" x14ac:dyDescent="0.3">
      <c r="B57" s="1132"/>
      <c r="C57" s="569"/>
      <c r="D57" s="570"/>
    </row>
    <row r="58" spans="2:4" hidden="1" outlineLevel="1" x14ac:dyDescent="0.3">
      <c r="B58" s="1132"/>
      <c r="C58" s="569"/>
      <c r="D58" s="570"/>
    </row>
    <row r="59" spans="2:4" hidden="1" outlineLevel="1" x14ac:dyDescent="0.3">
      <c r="B59" s="1132"/>
      <c r="C59" s="569"/>
      <c r="D59" s="570"/>
    </row>
    <row r="60" spans="2:4" hidden="1" outlineLevel="1" x14ac:dyDescent="0.3">
      <c r="B60" s="1132"/>
      <c r="C60" s="569"/>
      <c r="D60" s="570"/>
    </row>
    <row r="61" spans="2:4" hidden="1" outlineLevel="1" x14ac:dyDescent="0.3">
      <c r="B61" s="1132"/>
      <c r="C61" s="569"/>
      <c r="D61" s="570"/>
    </row>
    <row r="62" spans="2:4" hidden="1" outlineLevel="1" x14ac:dyDescent="0.3">
      <c r="B62" s="1132"/>
      <c r="C62" s="569"/>
      <c r="D62" s="570"/>
    </row>
    <row r="63" spans="2:4" hidden="1" outlineLevel="1" x14ac:dyDescent="0.3">
      <c r="B63" s="1132"/>
      <c r="C63" s="569"/>
      <c r="D63" s="570"/>
    </row>
    <row r="64" spans="2:4" collapsed="1" x14ac:dyDescent="0.3">
      <c r="B64" s="1132"/>
      <c r="C64" s="569"/>
      <c r="D64" s="570"/>
    </row>
    <row r="65" spans="2:4" hidden="1" outlineLevel="1" x14ac:dyDescent="0.3">
      <c r="B65" s="1132"/>
      <c r="C65" s="569"/>
      <c r="D65" s="570"/>
    </row>
    <row r="66" spans="2:4" hidden="1" outlineLevel="1" x14ac:dyDescent="0.3">
      <c r="B66" s="1132"/>
      <c r="C66" s="569"/>
      <c r="D66" s="570"/>
    </row>
    <row r="67" spans="2:4" hidden="1" outlineLevel="1" x14ac:dyDescent="0.3">
      <c r="B67" s="1132"/>
      <c r="C67" s="569"/>
      <c r="D67" s="570"/>
    </row>
    <row r="68" spans="2:4" hidden="1" outlineLevel="1" x14ac:dyDescent="0.3">
      <c r="B68" s="1132"/>
      <c r="C68" s="569"/>
      <c r="D68" s="570"/>
    </row>
    <row r="69" spans="2:4" hidden="1" outlineLevel="1" x14ac:dyDescent="0.3">
      <c r="B69" s="1132"/>
      <c r="C69" s="569"/>
      <c r="D69" s="570"/>
    </row>
    <row r="70" spans="2:4" hidden="1" outlineLevel="1" x14ac:dyDescent="0.3">
      <c r="B70" s="1132"/>
      <c r="C70" s="569"/>
      <c r="D70" s="570"/>
    </row>
    <row r="71" spans="2:4" hidden="1" outlineLevel="1" x14ac:dyDescent="0.3">
      <c r="B71" s="1132"/>
      <c r="C71" s="569"/>
      <c r="D71" s="570"/>
    </row>
    <row r="72" spans="2:4" hidden="1" outlineLevel="1" x14ac:dyDescent="0.3">
      <c r="B72" s="1132"/>
      <c r="C72" s="569"/>
      <c r="D72" s="570"/>
    </row>
    <row r="73" spans="2:4" hidden="1" outlineLevel="1" x14ac:dyDescent="0.3">
      <c r="B73" s="1132"/>
      <c r="C73" s="569"/>
      <c r="D73" s="570"/>
    </row>
    <row r="74" spans="2:4" collapsed="1" x14ac:dyDescent="0.3">
      <c r="B74" s="1132"/>
      <c r="C74" s="569"/>
      <c r="D74" s="570"/>
    </row>
    <row r="75" spans="2:4" hidden="1" outlineLevel="1" x14ac:dyDescent="0.3">
      <c r="B75" s="1132"/>
      <c r="C75" s="569"/>
      <c r="D75" s="570"/>
    </row>
    <row r="76" spans="2:4" hidden="1" outlineLevel="1" x14ac:dyDescent="0.3">
      <c r="B76" s="1132"/>
      <c r="C76" s="569"/>
      <c r="D76" s="570"/>
    </row>
    <row r="77" spans="2:4" hidden="1" outlineLevel="1" x14ac:dyDescent="0.3">
      <c r="B77" s="1132"/>
      <c r="C77" s="569"/>
      <c r="D77" s="570"/>
    </row>
    <row r="78" spans="2:4" hidden="1" outlineLevel="1" x14ac:dyDescent="0.3">
      <c r="B78" s="1132"/>
      <c r="C78" s="569"/>
      <c r="D78" s="570"/>
    </row>
    <row r="79" spans="2:4" hidden="1" outlineLevel="1" x14ac:dyDescent="0.3">
      <c r="B79" s="1132"/>
      <c r="C79" s="569"/>
      <c r="D79" s="570"/>
    </row>
    <row r="80" spans="2:4" hidden="1" outlineLevel="1" x14ac:dyDescent="0.3">
      <c r="B80" s="1132"/>
      <c r="C80" s="569"/>
      <c r="D80" s="570"/>
    </row>
    <row r="81" spans="2:4" hidden="1" outlineLevel="1" x14ac:dyDescent="0.3">
      <c r="B81" s="1132"/>
      <c r="C81" s="569"/>
      <c r="D81" s="570"/>
    </row>
    <row r="82" spans="2:4" hidden="1" outlineLevel="1" x14ac:dyDescent="0.3">
      <c r="B82" s="1132"/>
      <c r="C82" s="569"/>
      <c r="D82" s="570"/>
    </row>
    <row r="83" spans="2:4" hidden="1" outlineLevel="1" x14ac:dyDescent="0.3">
      <c r="B83" s="1132"/>
      <c r="C83" s="569"/>
      <c r="D83" s="570"/>
    </row>
    <row r="84" spans="2:4" collapsed="1" x14ac:dyDescent="0.3">
      <c r="B84" s="1132"/>
      <c r="C84" s="569"/>
      <c r="D84" s="570"/>
    </row>
    <row r="85" spans="2:4" hidden="1" outlineLevel="1" x14ac:dyDescent="0.3">
      <c r="B85" s="1132"/>
      <c r="C85" s="569"/>
      <c r="D85" s="570"/>
    </row>
    <row r="86" spans="2:4" hidden="1" outlineLevel="1" x14ac:dyDescent="0.3">
      <c r="B86" s="1132"/>
      <c r="C86" s="569"/>
      <c r="D86" s="570"/>
    </row>
    <row r="87" spans="2:4" hidden="1" outlineLevel="1" x14ac:dyDescent="0.3">
      <c r="B87" s="1132"/>
      <c r="C87" s="569"/>
      <c r="D87" s="570"/>
    </row>
    <row r="88" spans="2:4" hidden="1" outlineLevel="1" x14ac:dyDescent="0.3">
      <c r="B88" s="1132"/>
      <c r="C88" s="569"/>
      <c r="D88" s="570"/>
    </row>
    <row r="89" spans="2:4" hidden="1" outlineLevel="1" x14ac:dyDescent="0.3">
      <c r="B89" s="1132"/>
      <c r="C89" s="569"/>
      <c r="D89" s="570"/>
    </row>
    <row r="90" spans="2:4" hidden="1" outlineLevel="1" x14ac:dyDescent="0.3">
      <c r="B90" s="1132"/>
      <c r="C90" s="569"/>
      <c r="D90" s="570"/>
    </row>
    <row r="91" spans="2:4" hidden="1" outlineLevel="1" x14ac:dyDescent="0.3">
      <c r="B91" s="1132"/>
      <c r="C91" s="569"/>
      <c r="D91" s="570"/>
    </row>
    <row r="92" spans="2:4" hidden="1" outlineLevel="1" x14ac:dyDescent="0.3">
      <c r="B92" s="1132"/>
      <c r="C92" s="569"/>
      <c r="D92" s="570"/>
    </row>
    <row r="93" spans="2:4" hidden="1" outlineLevel="1" x14ac:dyDescent="0.3">
      <c r="B93" s="1132"/>
      <c r="C93" s="569"/>
      <c r="D93" s="570"/>
    </row>
    <row r="94" spans="2:4" ht="15" collapsed="1" thickBot="1" x14ac:dyDescent="0.35">
      <c r="B94" s="1132"/>
      <c r="C94" s="571"/>
      <c r="D94" s="570"/>
    </row>
    <row r="95" spans="2:4" hidden="1" outlineLevel="1" x14ac:dyDescent="0.3">
      <c r="B95" s="1132"/>
      <c r="C95" s="572"/>
      <c r="D95" s="570"/>
    </row>
    <row r="96" spans="2:4" hidden="1" outlineLevel="1" x14ac:dyDescent="0.3">
      <c r="B96" s="1132"/>
      <c r="C96" s="569"/>
      <c r="D96" s="570"/>
    </row>
    <row r="97" spans="2:4" hidden="1" outlineLevel="1" x14ac:dyDescent="0.3">
      <c r="B97" s="1132"/>
      <c r="C97" s="569"/>
      <c r="D97" s="570"/>
    </row>
    <row r="98" spans="2:4" hidden="1" outlineLevel="1" x14ac:dyDescent="0.3">
      <c r="B98" s="1132"/>
      <c r="C98" s="569"/>
      <c r="D98" s="570"/>
    </row>
    <row r="99" spans="2:4" hidden="1" outlineLevel="1" x14ac:dyDescent="0.3">
      <c r="B99" s="1132"/>
      <c r="C99" s="569"/>
      <c r="D99" s="570"/>
    </row>
    <row r="100" spans="2:4" hidden="1" outlineLevel="1" x14ac:dyDescent="0.3">
      <c r="B100" s="1132"/>
      <c r="C100" s="569"/>
      <c r="D100" s="570"/>
    </row>
    <row r="101" spans="2:4" hidden="1" outlineLevel="1" x14ac:dyDescent="0.3">
      <c r="B101" s="1132"/>
      <c r="C101" s="569"/>
      <c r="D101" s="570"/>
    </row>
    <row r="102" spans="2:4" hidden="1" outlineLevel="1" x14ac:dyDescent="0.3">
      <c r="B102" s="1132"/>
      <c r="C102" s="569"/>
      <c r="D102" s="570"/>
    </row>
    <row r="103" spans="2:4" hidden="1" outlineLevel="1" x14ac:dyDescent="0.3">
      <c r="B103" s="1132"/>
      <c r="C103" s="569"/>
      <c r="D103" s="570"/>
    </row>
    <row r="104" spans="2:4" hidden="1" outlineLevel="1" collapsed="1" x14ac:dyDescent="0.3">
      <c r="B104" s="1132"/>
      <c r="C104" s="569"/>
      <c r="D104" s="570"/>
    </row>
    <row r="105" spans="2:4" hidden="1" outlineLevel="2" x14ac:dyDescent="0.3">
      <c r="B105" s="1132"/>
      <c r="C105" s="569"/>
      <c r="D105" s="570"/>
    </row>
    <row r="106" spans="2:4" hidden="1" outlineLevel="2" x14ac:dyDescent="0.3">
      <c r="B106" s="1132"/>
      <c r="C106" s="569"/>
      <c r="D106" s="570"/>
    </row>
    <row r="107" spans="2:4" hidden="1" outlineLevel="2" x14ac:dyDescent="0.3">
      <c r="B107" s="1132"/>
      <c r="C107" s="569"/>
      <c r="D107" s="570"/>
    </row>
    <row r="108" spans="2:4" hidden="1" outlineLevel="2" x14ac:dyDescent="0.3">
      <c r="B108" s="1132"/>
      <c r="C108" s="569"/>
      <c r="D108" s="570"/>
    </row>
    <row r="109" spans="2:4" hidden="1" outlineLevel="2" x14ac:dyDescent="0.3">
      <c r="B109" s="1132"/>
      <c r="C109" s="569"/>
      <c r="D109" s="570"/>
    </row>
    <row r="110" spans="2:4" hidden="1" outlineLevel="2" x14ac:dyDescent="0.3">
      <c r="B110" s="1132"/>
      <c r="C110" s="569"/>
      <c r="D110" s="570"/>
    </row>
    <row r="111" spans="2:4" hidden="1" outlineLevel="2" x14ac:dyDescent="0.3">
      <c r="B111" s="1132"/>
      <c r="C111" s="569"/>
      <c r="D111" s="570"/>
    </row>
    <row r="112" spans="2:4" hidden="1" outlineLevel="2" x14ac:dyDescent="0.3">
      <c r="B112" s="1132"/>
      <c r="C112" s="569"/>
      <c r="D112" s="570"/>
    </row>
    <row r="113" spans="2:4" hidden="1" outlineLevel="2" x14ac:dyDescent="0.3">
      <c r="B113" s="1132"/>
      <c r="C113" s="569"/>
      <c r="D113" s="570"/>
    </row>
    <row r="114" spans="2:4" hidden="1" outlineLevel="1" x14ac:dyDescent="0.3">
      <c r="B114" s="1132"/>
      <c r="C114" s="569"/>
      <c r="D114" s="570"/>
    </row>
    <row r="115" spans="2:4" hidden="1" outlineLevel="2" x14ac:dyDescent="0.3">
      <c r="B115" s="1132"/>
      <c r="C115" s="569"/>
      <c r="D115" s="570"/>
    </row>
    <row r="116" spans="2:4" hidden="1" outlineLevel="2" x14ac:dyDescent="0.3">
      <c r="B116" s="1132"/>
      <c r="C116" s="569"/>
      <c r="D116" s="570"/>
    </row>
    <row r="117" spans="2:4" hidden="1" outlineLevel="2" x14ac:dyDescent="0.3">
      <c r="B117" s="1132"/>
      <c r="C117" s="569"/>
      <c r="D117" s="570"/>
    </row>
    <row r="118" spans="2:4" hidden="1" outlineLevel="2" x14ac:dyDescent="0.3">
      <c r="B118" s="1132"/>
      <c r="C118" s="569"/>
      <c r="D118" s="570"/>
    </row>
    <row r="119" spans="2:4" hidden="1" outlineLevel="2" x14ac:dyDescent="0.3">
      <c r="B119" s="1132"/>
      <c r="C119" s="569"/>
      <c r="D119" s="570"/>
    </row>
    <row r="120" spans="2:4" hidden="1" outlineLevel="2" x14ac:dyDescent="0.3">
      <c r="B120" s="1132"/>
      <c r="C120" s="569"/>
      <c r="D120" s="570"/>
    </row>
    <row r="121" spans="2:4" hidden="1" outlineLevel="2" x14ac:dyDescent="0.3">
      <c r="B121" s="1132"/>
      <c r="C121" s="569"/>
      <c r="D121" s="570"/>
    </row>
    <row r="122" spans="2:4" hidden="1" outlineLevel="2" x14ac:dyDescent="0.3">
      <c r="B122" s="1132"/>
      <c r="C122" s="569"/>
      <c r="D122" s="570"/>
    </row>
    <row r="123" spans="2:4" hidden="1" outlineLevel="2" x14ac:dyDescent="0.3">
      <c r="B123" s="1132"/>
      <c r="C123" s="569"/>
      <c r="D123" s="570"/>
    </row>
    <row r="124" spans="2:4" hidden="1" outlineLevel="1" x14ac:dyDescent="0.3">
      <c r="B124" s="1132"/>
      <c r="C124" s="569"/>
      <c r="D124" s="570"/>
    </row>
    <row r="125" spans="2:4" hidden="1" outlineLevel="2" x14ac:dyDescent="0.3">
      <c r="B125" s="1132"/>
      <c r="C125" s="569"/>
      <c r="D125" s="570"/>
    </row>
    <row r="126" spans="2:4" hidden="1" outlineLevel="2" x14ac:dyDescent="0.3">
      <c r="B126" s="1132"/>
      <c r="C126" s="569"/>
      <c r="D126" s="570"/>
    </row>
    <row r="127" spans="2:4" hidden="1" outlineLevel="2" x14ac:dyDescent="0.3">
      <c r="B127" s="1132"/>
      <c r="C127" s="569"/>
      <c r="D127" s="570"/>
    </row>
    <row r="128" spans="2:4" hidden="1" outlineLevel="2" x14ac:dyDescent="0.3">
      <c r="B128" s="1132"/>
      <c r="C128" s="569"/>
      <c r="D128" s="570"/>
    </row>
    <row r="129" spans="2:4" hidden="1" outlineLevel="2" x14ac:dyDescent="0.3">
      <c r="B129" s="1132"/>
      <c r="C129" s="569"/>
      <c r="D129" s="570"/>
    </row>
    <row r="130" spans="2:4" hidden="1" outlineLevel="2" x14ac:dyDescent="0.3">
      <c r="B130" s="1132"/>
      <c r="C130" s="569"/>
      <c r="D130" s="570"/>
    </row>
    <row r="131" spans="2:4" hidden="1" outlineLevel="2" x14ac:dyDescent="0.3">
      <c r="B131" s="1132"/>
      <c r="C131" s="569"/>
      <c r="D131" s="570"/>
    </row>
    <row r="132" spans="2:4" hidden="1" outlineLevel="2" x14ac:dyDescent="0.3">
      <c r="B132" s="1132"/>
      <c r="C132" s="569"/>
      <c r="D132" s="570"/>
    </row>
    <row r="133" spans="2:4" hidden="1" outlineLevel="2" x14ac:dyDescent="0.3">
      <c r="B133" s="1132"/>
      <c r="C133" s="569"/>
      <c r="D133" s="570"/>
    </row>
    <row r="134" spans="2:4" hidden="1" outlineLevel="1" x14ac:dyDescent="0.3">
      <c r="B134" s="1132"/>
      <c r="C134" s="569"/>
      <c r="D134" s="570"/>
    </row>
    <row r="135" spans="2:4" hidden="1" outlineLevel="2" x14ac:dyDescent="0.3">
      <c r="B135" s="1132"/>
      <c r="C135" s="569"/>
      <c r="D135" s="570"/>
    </row>
    <row r="136" spans="2:4" hidden="1" outlineLevel="2" x14ac:dyDescent="0.3">
      <c r="B136" s="1132"/>
      <c r="C136" s="569"/>
      <c r="D136" s="570"/>
    </row>
    <row r="137" spans="2:4" hidden="1" outlineLevel="2" x14ac:dyDescent="0.3">
      <c r="B137" s="1132"/>
      <c r="C137" s="569"/>
      <c r="D137" s="570"/>
    </row>
    <row r="138" spans="2:4" hidden="1" outlineLevel="2" x14ac:dyDescent="0.3">
      <c r="B138" s="1132"/>
      <c r="C138" s="569"/>
      <c r="D138" s="570"/>
    </row>
    <row r="139" spans="2:4" hidden="1" outlineLevel="2" x14ac:dyDescent="0.3">
      <c r="B139" s="1132"/>
      <c r="C139" s="569"/>
      <c r="D139" s="570"/>
    </row>
    <row r="140" spans="2:4" hidden="1" outlineLevel="2" x14ac:dyDescent="0.3">
      <c r="B140" s="1132"/>
      <c r="C140" s="569"/>
      <c r="D140" s="570"/>
    </row>
    <row r="141" spans="2:4" hidden="1" outlineLevel="2" x14ac:dyDescent="0.3">
      <c r="B141" s="1132"/>
      <c r="C141" s="569"/>
      <c r="D141" s="570"/>
    </row>
    <row r="142" spans="2:4" hidden="1" outlineLevel="2" x14ac:dyDescent="0.3">
      <c r="B142" s="1132"/>
      <c r="C142" s="569"/>
      <c r="D142" s="570"/>
    </row>
    <row r="143" spans="2:4" hidden="1" outlineLevel="2" x14ac:dyDescent="0.3">
      <c r="B143" s="1132"/>
      <c r="C143" s="569"/>
      <c r="D143" s="570"/>
    </row>
    <row r="144" spans="2:4" hidden="1" outlineLevel="1" x14ac:dyDescent="0.3">
      <c r="B144" s="1132"/>
      <c r="C144" s="569"/>
      <c r="D144" s="570"/>
    </row>
    <row r="145" spans="2:4" hidden="1" outlineLevel="1" x14ac:dyDescent="0.3">
      <c r="B145" s="1132"/>
      <c r="C145" s="569"/>
      <c r="D145" s="570"/>
    </row>
    <row r="146" spans="2:4" hidden="1" outlineLevel="1" x14ac:dyDescent="0.3">
      <c r="B146" s="1132"/>
      <c r="C146" s="569"/>
      <c r="D146" s="570"/>
    </row>
    <row r="147" spans="2:4" hidden="1" outlineLevel="1" x14ac:dyDescent="0.3">
      <c r="B147" s="1132"/>
      <c r="C147" s="569"/>
      <c r="D147" s="570"/>
    </row>
    <row r="148" spans="2:4" hidden="1" outlineLevel="1" x14ac:dyDescent="0.3">
      <c r="B148" s="1132"/>
      <c r="C148" s="569"/>
      <c r="D148" s="570"/>
    </row>
    <row r="149" spans="2:4" hidden="1" outlineLevel="1" x14ac:dyDescent="0.3">
      <c r="B149" s="1132"/>
      <c r="C149" s="569"/>
      <c r="D149" s="570"/>
    </row>
    <row r="150" spans="2:4" hidden="1" outlineLevel="1" x14ac:dyDescent="0.3">
      <c r="B150" s="1132"/>
      <c r="C150" s="569"/>
      <c r="D150" s="570"/>
    </row>
    <row r="151" spans="2:4" hidden="1" outlineLevel="1" x14ac:dyDescent="0.3">
      <c r="B151" s="1132"/>
      <c r="C151" s="569"/>
      <c r="D151" s="570"/>
    </row>
    <row r="152" spans="2:4" hidden="1" outlineLevel="1" x14ac:dyDescent="0.3">
      <c r="B152" s="1132"/>
      <c r="C152" s="569"/>
      <c r="D152" s="570"/>
    </row>
    <row r="153" spans="2:4" hidden="1" outlineLevel="1" x14ac:dyDescent="0.3">
      <c r="B153" s="1132"/>
      <c r="C153" s="569"/>
      <c r="D153" s="570"/>
    </row>
    <row r="154" spans="2:4" hidden="1" outlineLevel="1" x14ac:dyDescent="0.3">
      <c r="B154" s="1132"/>
      <c r="C154" s="569"/>
      <c r="D154" s="570"/>
    </row>
    <row r="155" spans="2:4" hidden="1" outlineLevel="2" x14ac:dyDescent="0.3">
      <c r="B155" s="1132"/>
      <c r="C155" s="569"/>
      <c r="D155" s="570"/>
    </row>
    <row r="156" spans="2:4" hidden="1" outlineLevel="2" x14ac:dyDescent="0.3">
      <c r="B156" s="1132"/>
      <c r="C156" s="569"/>
      <c r="D156" s="570"/>
    </row>
    <row r="157" spans="2:4" hidden="1" outlineLevel="2" x14ac:dyDescent="0.3">
      <c r="B157" s="1132"/>
      <c r="C157" s="569"/>
      <c r="D157" s="570"/>
    </row>
    <row r="158" spans="2:4" hidden="1" outlineLevel="2" x14ac:dyDescent="0.3">
      <c r="B158" s="1132"/>
      <c r="C158" s="569"/>
      <c r="D158" s="570"/>
    </row>
    <row r="159" spans="2:4" hidden="1" outlineLevel="2" x14ac:dyDescent="0.3">
      <c r="B159" s="1132"/>
      <c r="C159" s="569"/>
      <c r="D159" s="570"/>
    </row>
    <row r="160" spans="2:4" hidden="1" outlineLevel="2" x14ac:dyDescent="0.3">
      <c r="B160" s="1132"/>
      <c r="C160" s="569"/>
      <c r="D160" s="570"/>
    </row>
    <row r="161" spans="2:4" hidden="1" outlineLevel="2" x14ac:dyDescent="0.3">
      <c r="B161" s="1132"/>
      <c r="C161" s="569"/>
      <c r="D161" s="570"/>
    </row>
    <row r="162" spans="2:4" hidden="1" outlineLevel="2" x14ac:dyDescent="0.3">
      <c r="B162" s="1132"/>
      <c r="C162" s="569"/>
      <c r="D162" s="570"/>
    </row>
    <row r="163" spans="2:4" hidden="1" outlineLevel="2" x14ac:dyDescent="0.3">
      <c r="B163" s="1132"/>
      <c r="C163" s="569"/>
      <c r="D163" s="570"/>
    </row>
    <row r="164" spans="2:4" hidden="1" outlineLevel="1" x14ac:dyDescent="0.3">
      <c r="B164" s="1132"/>
      <c r="C164" s="569"/>
      <c r="D164" s="570"/>
    </row>
    <row r="165" spans="2:4" hidden="1" outlineLevel="2" x14ac:dyDescent="0.3">
      <c r="B165" s="1132"/>
      <c r="C165" s="569"/>
      <c r="D165" s="570"/>
    </row>
    <row r="166" spans="2:4" hidden="1" outlineLevel="2" x14ac:dyDescent="0.3">
      <c r="B166" s="1132"/>
      <c r="C166" s="569"/>
      <c r="D166" s="570"/>
    </row>
    <row r="167" spans="2:4" hidden="1" outlineLevel="2" x14ac:dyDescent="0.3">
      <c r="B167" s="1132"/>
      <c r="C167" s="569"/>
      <c r="D167" s="570"/>
    </row>
    <row r="168" spans="2:4" hidden="1" outlineLevel="2" x14ac:dyDescent="0.3">
      <c r="B168" s="1132"/>
      <c r="C168" s="569"/>
      <c r="D168" s="570"/>
    </row>
    <row r="169" spans="2:4" hidden="1" outlineLevel="2" x14ac:dyDescent="0.3">
      <c r="B169" s="1132"/>
      <c r="C169" s="569"/>
      <c r="D169" s="570"/>
    </row>
    <row r="170" spans="2:4" hidden="1" outlineLevel="2" x14ac:dyDescent="0.3">
      <c r="B170" s="1132"/>
      <c r="C170" s="569"/>
      <c r="D170" s="570"/>
    </row>
    <row r="171" spans="2:4" hidden="1" outlineLevel="2" x14ac:dyDescent="0.3">
      <c r="B171" s="1132"/>
      <c r="C171" s="569"/>
      <c r="D171" s="570"/>
    </row>
    <row r="172" spans="2:4" hidden="1" outlineLevel="2" x14ac:dyDescent="0.3">
      <c r="B172" s="1132"/>
      <c r="C172" s="569"/>
      <c r="D172" s="570"/>
    </row>
    <row r="173" spans="2:4" hidden="1" outlineLevel="2" x14ac:dyDescent="0.3">
      <c r="B173" s="1132"/>
      <c r="C173" s="569"/>
      <c r="D173" s="570"/>
    </row>
    <row r="174" spans="2:4" hidden="1" outlineLevel="1" x14ac:dyDescent="0.3">
      <c r="B174" s="1132"/>
      <c r="C174" s="569"/>
      <c r="D174" s="570"/>
    </row>
    <row r="175" spans="2:4" hidden="1" outlineLevel="2" x14ac:dyDescent="0.3">
      <c r="B175" s="1132"/>
      <c r="C175" s="569"/>
      <c r="D175" s="570"/>
    </row>
    <row r="176" spans="2:4" hidden="1" outlineLevel="2" x14ac:dyDescent="0.3">
      <c r="B176" s="1132"/>
      <c r="C176" s="569"/>
      <c r="D176" s="570"/>
    </row>
    <row r="177" spans="2:4" hidden="1" outlineLevel="2" x14ac:dyDescent="0.3">
      <c r="B177" s="1132"/>
      <c r="C177" s="569"/>
      <c r="D177" s="570"/>
    </row>
    <row r="178" spans="2:4" hidden="1" outlineLevel="2" x14ac:dyDescent="0.3">
      <c r="B178" s="1132"/>
      <c r="C178" s="569"/>
      <c r="D178" s="570"/>
    </row>
    <row r="179" spans="2:4" hidden="1" outlineLevel="2" x14ac:dyDescent="0.3">
      <c r="B179" s="1132"/>
      <c r="C179" s="569"/>
      <c r="D179" s="570"/>
    </row>
    <row r="180" spans="2:4" hidden="1" outlineLevel="2" x14ac:dyDescent="0.3">
      <c r="B180" s="1132"/>
      <c r="C180" s="569"/>
      <c r="D180" s="570"/>
    </row>
    <row r="181" spans="2:4" hidden="1" outlineLevel="2" x14ac:dyDescent="0.3">
      <c r="B181" s="1132"/>
      <c r="C181" s="569"/>
      <c r="D181" s="570"/>
    </row>
    <row r="182" spans="2:4" hidden="1" outlineLevel="2" x14ac:dyDescent="0.3">
      <c r="B182" s="1132"/>
      <c r="C182" s="569"/>
      <c r="D182" s="570"/>
    </row>
    <row r="183" spans="2:4" hidden="1" outlineLevel="2" x14ac:dyDescent="0.3">
      <c r="B183" s="1132"/>
      <c r="C183" s="569"/>
      <c r="D183" s="570"/>
    </row>
    <row r="184" spans="2:4" hidden="1" outlineLevel="1" x14ac:dyDescent="0.3">
      <c r="B184" s="1132"/>
      <c r="C184" s="569"/>
      <c r="D184" s="570"/>
    </row>
    <row r="185" spans="2:4" hidden="1" outlineLevel="2" x14ac:dyDescent="0.3">
      <c r="B185" s="1132"/>
      <c r="C185" s="569"/>
      <c r="D185" s="570"/>
    </row>
    <row r="186" spans="2:4" hidden="1" outlineLevel="2" x14ac:dyDescent="0.3">
      <c r="B186" s="1132"/>
      <c r="C186" s="569"/>
      <c r="D186" s="570"/>
    </row>
    <row r="187" spans="2:4" hidden="1" outlineLevel="2" x14ac:dyDescent="0.3">
      <c r="B187" s="1132"/>
      <c r="C187" s="569"/>
      <c r="D187" s="570"/>
    </row>
    <row r="188" spans="2:4" hidden="1" outlineLevel="2" x14ac:dyDescent="0.3">
      <c r="B188" s="1132"/>
      <c r="C188" s="569"/>
      <c r="D188" s="570"/>
    </row>
    <row r="189" spans="2:4" hidden="1" outlineLevel="2" x14ac:dyDescent="0.3">
      <c r="B189" s="1132"/>
      <c r="C189" s="569"/>
      <c r="D189" s="570"/>
    </row>
    <row r="190" spans="2:4" hidden="1" outlineLevel="2" x14ac:dyDescent="0.3">
      <c r="B190" s="1132"/>
      <c r="C190" s="569"/>
      <c r="D190" s="570"/>
    </row>
    <row r="191" spans="2:4" hidden="1" outlineLevel="2" x14ac:dyDescent="0.3">
      <c r="B191" s="1132"/>
      <c r="C191" s="569"/>
      <c r="D191" s="570"/>
    </row>
    <row r="192" spans="2:4" hidden="1" outlineLevel="2" x14ac:dyDescent="0.3">
      <c r="B192" s="1132"/>
      <c r="C192" s="569"/>
      <c r="D192" s="570"/>
    </row>
    <row r="193" spans="2:4" hidden="1" outlineLevel="2" x14ac:dyDescent="0.3">
      <c r="B193" s="1132"/>
      <c r="C193" s="569"/>
      <c r="D193" s="570"/>
    </row>
    <row r="194" spans="2:4" ht="15" hidden="1" outlineLevel="1" thickBot="1" x14ac:dyDescent="0.35">
      <c r="B194" s="1132"/>
      <c r="C194" s="571"/>
      <c r="D194" s="570"/>
    </row>
    <row r="195" spans="2:4" hidden="1" outlineLevel="2" x14ac:dyDescent="0.3">
      <c r="B195" s="1132"/>
      <c r="C195" s="572"/>
      <c r="D195" s="570"/>
    </row>
    <row r="196" spans="2:4" hidden="1" outlineLevel="2" x14ac:dyDescent="0.3">
      <c r="B196" s="1132"/>
      <c r="C196" s="569"/>
      <c r="D196" s="570"/>
    </row>
    <row r="197" spans="2:4" hidden="1" outlineLevel="2" x14ac:dyDescent="0.3">
      <c r="B197" s="1132"/>
      <c r="C197" s="569"/>
      <c r="D197" s="570"/>
    </row>
    <row r="198" spans="2:4" hidden="1" outlineLevel="2" x14ac:dyDescent="0.3">
      <c r="B198" s="1132"/>
      <c r="C198" s="569"/>
      <c r="D198" s="570"/>
    </row>
    <row r="199" spans="2:4" hidden="1" outlineLevel="2" x14ac:dyDescent="0.3">
      <c r="B199" s="1132"/>
      <c r="C199" s="569"/>
      <c r="D199" s="570"/>
    </row>
    <row r="200" spans="2:4" hidden="1" outlineLevel="2" x14ac:dyDescent="0.3">
      <c r="B200" s="1132"/>
      <c r="C200" s="569"/>
      <c r="D200" s="570"/>
    </row>
    <row r="201" spans="2:4" hidden="1" outlineLevel="2" x14ac:dyDescent="0.3">
      <c r="B201" s="1132"/>
      <c r="C201" s="569"/>
      <c r="D201" s="570"/>
    </row>
    <row r="202" spans="2:4" hidden="1" outlineLevel="2" x14ac:dyDescent="0.3">
      <c r="B202" s="1132"/>
      <c r="C202" s="569"/>
      <c r="D202" s="570"/>
    </row>
    <row r="203" spans="2:4" hidden="1" outlineLevel="2" x14ac:dyDescent="0.3">
      <c r="B203" s="1132"/>
      <c r="C203" s="569"/>
      <c r="D203" s="570"/>
    </row>
    <row r="204" spans="2:4" hidden="1" outlineLevel="1" x14ac:dyDescent="0.3">
      <c r="B204" s="1132"/>
      <c r="C204" s="569"/>
      <c r="D204" s="570"/>
    </row>
    <row r="205" spans="2:4" hidden="1" outlineLevel="2" x14ac:dyDescent="0.3">
      <c r="B205" s="1132"/>
      <c r="C205" s="569"/>
      <c r="D205" s="570"/>
    </row>
    <row r="206" spans="2:4" hidden="1" outlineLevel="2" x14ac:dyDescent="0.3">
      <c r="B206" s="1132"/>
      <c r="C206" s="569"/>
      <c r="D206" s="570"/>
    </row>
    <row r="207" spans="2:4" hidden="1" outlineLevel="2" x14ac:dyDescent="0.3">
      <c r="B207" s="1132"/>
      <c r="C207" s="569"/>
      <c r="D207" s="570"/>
    </row>
    <row r="208" spans="2:4" hidden="1" outlineLevel="2" x14ac:dyDescent="0.3">
      <c r="B208" s="1132"/>
      <c r="C208" s="569"/>
      <c r="D208" s="570"/>
    </row>
    <row r="209" spans="2:4" hidden="1" outlineLevel="2" x14ac:dyDescent="0.3">
      <c r="B209" s="1132"/>
      <c r="C209" s="569"/>
      <c r="D209" s="570"/>
    </row>
    <row r="210" spans="2:4" hidden="1" outlineLevel="2" x14ac:dyDescent="0.3">
      <c r="B210" s="1132"/>
      <c r="C210" s="569"/>
      <c r="D210" s="570"/>
    </row>
    <row r="211" spans="2:4" hidden="1" outlineLevel="2" x14ac:dyDescent="0.3">
      <c r="B211" s="1132"/>
      <c r="C211" s="569"/>
      <c r="D211" s="570"/>
    </row>
    <row r="212" spans="2:4" hidden="1" outlineLevel="2" x14ac:dyDescent="0.3">
      <c r="B212" s="1132"/>
      <c r="C212" s="569"/>
      <c r="D212" s="570"/>
    </row>
    <row r="213" spans="2:4" hidden="1" outlineLevel="2" x14ac:dyDescent="0.3">
      <c r="B213" s="1132"/>
      <c r="C213" s="569"/>
      <c r="D213" s="570"/>
    </row>
    <row r="214" spans="2:4" hidden="1" outlineLevel="1" x14ac:dyDescent="0.3">
      <c r="B214" s="1132"/>
      <c r="C214" s="569"/>
      <c r="D214" s="570"/>
    </row>
    <row r="215" spans="2:4" hidden="1" outlineLevel="2" x14ac:dyDescent="0.3">
      <c r="B215" s="1132"/>
      <c r="C215" s="569"/>
      <c r="D215" s="570"/>
    </row>
    <row r="216" spans="2:4" hidden="1" outlineLevel="2" x14ac:dyDescent="0.3">
      <c r="B216" s="1132"/>
      <c r="C216" s="569"/>
      <c r="D216" s="570"/>
    </row>
    <row r="217" spans="2:4" hidden="1" outlineLevel="2" x14ac:dyDescent="0.3">
      <c r="B217" s="1132"/>
      <c r="C217" s="569"/>
      <c r="D217" s="570"/>
    </row>
    <row r="218" spans="2:4" hidden="1" outlineLevel="2" x14ac:dyDescent="0.3">
      <c r="B218" s="1132"/>
      <c r="C218" s="569"/>
      <c r="D218" s="570"/>
    </row>
    <row r="219" spans="2:4" hidden="1" outlineLevel="2" x14ac:dyDescent="0.3">
      <c r="B219" s="1132"/>
      <c r="C219" s="569"/>
      <c r="D219" s="570"/>
    </row>
    <row r="220" spans="2:4" hidden="1" outlineLevel="2" x14ac:dyDescent="0.3">
      <c r="B220" s="1132"/>
      <c r="C220" s="569"/>
      <c r="D220" s="570"/>
    </row>
    <row r="221" spans="2:4" hidden="1" outlineLevel="2" x14ac:dyDescent="0.3">
      <c r="B221" s="1132"/>
      <c r="C221" s="569"/>
      <c r="D221" s="570"/>
    </row>
    <row r="222" spans="2:4" hidden="1" outlineLevel="2" x14ac:dyDescent="0.3">
      <c r="B222" s="1132"/>
      <c r="C222" s="569"/>
      <c r="D222" s="570"/>
    </row>
    <row r="223" spans="2:4" hidden="1" outlineLevel="2" x14ac:dyDescent="0.3">
      <c r="B223" s="1132"/>
      <c r="C223" s="569"/>
      <c r="D223" s="570"/>
    </row>
    <row r="224" spans="2:4" hidden="1" outlineLevel="1" x14ac:dyDescent="0.3">
      <c r="B224" s="1132"/>
      <c r="C224" s="569"/>
      <c r="D224" s="570"/>
    </row>
    <row r="225" spans="2:4" hidden="1" outlineLevel="2" x14ac:dyDescent="0.3">
      <c r="B225" s="1132"/>
      <c r="C225" s="569"/>
      <c r="D225" s="570"/>
    </row>
    <row r="226" spans="2:4" hidden="1" outlineLevel="2" x14ac:dyDescent="0.3">
      <c r="B226" s="1132"/>
      <c r="C226" s="569"/>
      <c r="D226" s="570"/>
    </row>
    <row r="227" spans="2:4" hidden="1" outlineLevel="2" x14ac:dyDescent="0.3">
      <c r="B227" s="1132"/>
      <c r="C227" s="569"/>
      <c r="D227" s="570"/>
    </row>
    <row r="228" spans="2:4" hidden="1" outlineLevel="2" x14ac:dyDescent="0.3">
      <c r="B228" s="1132"/>
      <c r="C228" s="569"/>
      <c r="D228" s="570"/>
    </row>
    <row r="229" spans="2:4" hidden="1" outlineLevel="2" x14ac:dyDescent="0.3">
      <c r="B229" s="1132"/>
      <c r="C229" s="569"/>
      <c r="D229" s="570"/>
    </row>
    <row r="230" spans="2:4" hidden="1" outlineLevel="2" x14ac:dyDescent="0.3">
      <c r="B230" s="1132"/>
      <c r="C230" s="569"/>
      <c r="D230" s="570"/>
    </row>
    <row r="231" spans="2:4" hidden="1" outlineLevel="2" x14ac:dyDescent="0.3">
      <c r="B231" s="1132"/>
      <c r="C231" s="569"/>
      <c r="D231" s="570"/>
    </row>
    <row r="232" spans="2:4" hidden="1" outlineLevel="2" x14ac:dyDescent="0.3">
      <c r="B232" s="1132"/>
      <c r="C232" s="569"/>
      <c r="D232" s="570"/>
    </row>
    <row r="233" spans="2:4" hidden="1" outlineLevel="2" x14ac:dyDescent="0.3">
      <c r="B233" s="1132"/>
      <c r="C233" s="569"/>
      <c r="D233" s="570"/>
    </row>
    <row r="234" spans="2:4" hidden="1" outlineLevel="1" x14ac:dyDescent="0.3">
      <c r="B234" s="1132"/>
      <c r="C234" s="569"/>
      <c r="D234" s="570"/>
    </row>
    <row r="235" spans="2:4" hidden="1" outlineLevel="2" x14ac:dyDescent="0.3">
      <c r="B235" s="1132"/>
      <c r="C235" s="569"/>
      <c r="D235" s="570"/>
    </row>
    <row r="236" spans="2:4" hidden="1" outlineLevel="2" x14ac:dyDescent="0.3">
      <c r="B236" s="1132"/>
      <c r="C236" s="569"/>
      <c r="D236" s="570"/>
    </row>
    <row r="237" spans="2:4" hidden="1" outlineLevel="2" x14ac:dyDescent="0.3">
      <c r="B237" s="1132"/>
      <c r="C237" s="569"/>
      <c r="D237" s="570"/>
    </row>
    <row r="238" spans="2:4" hidden="1" outlineLevel="2" x14ac:dyDescent="0.3">
      <c r="B238" s="1132"/>
      <c r="C238" s="569"/>
      <c r="D238" s="570"/>
    </row>
    <row r="239" spans="2:4" hidden="1" outlineLevel="2" x14ac:dyDescent="0.3">
      <c r="B239" s="1132"/>
      <c r="C239" s="569"/>
      <c r="D239" s="570"/>
    </row>
    <row r="240" spans="2:4" hidden="1" outlineLevel="2" x14ac:dyDescent="0.3">
      <c r="B240" s="1132"/>
      <c r="C240" s="569"/>
      <c r="D240" s="570"/>
    </row>
    <row r="241" spans="2:4" hidden="1" outlineLevel="2" x14ac:dyDescent="0.3">
      <c r="B241" s="1132"/>
      <c r="C241" s="569"/>
      <c r="D241" s="570"/>
    </row>
    <row r="242" spans="2:4" hidden="1" outlineLevel="2" x14ac:dyDescent="0.3">
      <c r="B242" s="1132"/>
      <c r="C242" s="569"/>
      <c r="D242" s="570"/>
    </row>
    <row r="243" spans="2:4" hidden="1" outlineLevel="2" x14ac:dyDescent="0.3">
      <c r="B243" s="1132"/>
      <c r="C243" s="569"/>
      <c r="D243" s="570"/>
    </row>
    <row r="244" spans="2:4" hidden="1" outlineLevel="1" x14ac:dyDescent="0.3">
      <c r="B244" s="1132"/>
      <c r="C244" s="569"/>
      <c r="D244" s="570"/>
    </row>
    <row r="245" spans="2:4" hidden="1" outlineLevel="2" x14ac:dyDescent="0.3">
      <c r="B245" s="1132"/>
      <c r="C245" s="569"/>
      <c r="D245" s="570"/>
    </row>
    <row r="246" spans="2:4" hidden="1" outlineLevel="2" x14ac:dyDescent="0.3">
      <c r="B246" s="1132"/>
      <c r="C246" s="569"/>
      <c r="D246" s="570"/>
    </row>
    <row r="247" spans="2:4" hidden="1" outlineLevel="2" x14ac:dyDescent="0.3">
      <c r="B247" s="1132"/>
      <c r="C247" s="569"/>
      <c r="D247" s="570"/>
    </row>
    <row r="248" spans="2:4" hidden="1" outlineLevel="2" x14ac:dyDescent="0.3">
      <c r="B248" s="1132"/>
      <c r="C248" s="569"/>
      <c r="D248" s="570"/>
    </row>
    <row r="249" spans="2:4" hidden="1" outlineLevel="2" x14ac:dyDescent="0.3">
      <c r="B249" s="1132"/>
      <c r="C249" s="569"/>
      <c r="D249" s="570"/>
    </row>
    <row r="250" spans="2:4" hidden="1" outlineLevel="2" x14ac:dyDescent="0.3">
      <c r="B250" s="1132"/>
      <c r="C250" s="569"/>
      <c r="D250" s="570"/>
    </row>
    <row r="251" spans="2:4" hidden="1" outlineLevel="2" x14ac:dyDescent="0.3">
      <c r="B251" s="1132"/>
      <c r="C251" s="569"/>
      <c r="D251" s="570"/>
    </row>
    <row r="252" spans="2:4" hidden="1" outlineLevel="2" x14ac:dyDescent="0.3">
      <c r="B252" s="1132"/>
      <c r="C252" s="569"/>
      <c r="D252" s="570"/>
    </row>
    <row r="253" spans="2:4" hidden="1" outlineLevel="2" x14ac:dyDescent="0.3">
      <c r="B253" s="1132"/>
      <c r="C253" s="569"/>
      <c r="D253" s="570"/>
    </row>
    <row r="254" spans="2:4" hidden="1" outlineLevel="1" x14ac:dyDescent="0.3">
      <c r="B254" s="1132"/>
      <c r="C254" s="569"/>
      <c r="D254" s="570"/>
    </row>
    <row r="255" spans="2:4" hidden="1" outlineLevel="2" x14ac:dyDescent="0.3">
      <c r="B255" s="1132"/>
      <c r="C255" s="569"/>
      <c r="D255" s="570"/>
    </row>
    <row r="256" spans="2:4" hidden="1" outlineLevel="2" x14ac:dyDescent="0.3">
      <c r="B256" s="1132"/>
      <c r="C256" s="569"/>
      <c r="D256" s="570"/>
    </row>
    <row r="257" spans="2:4" hidden="1" outlineLevel="2" x14ac:dyDescent="0.3">
      <c r="B257" s="1132"/>
      <c r="C257" s="569"/>
      <c r="D257" s="570"/>
    </row>
    <row r="258" spans="2:4" hidden="1" outlineLevel="2" x14ac:dyDescent="0.3">
      <c r="B258" s="1132"/>
      <c r="C258" s="569"/>
      <c r="D258" s="570"/>
    </row>
    <row r="259" spans="2:4" hidden="1" outlineLevel="2" x14ac:dyDescent="0.3">
      <c r="B259" s="1132"/>
      <c r="C259" s="569"/>
      <c r="D259" s="570"/>
    </row>
    <row r="260" spans="2:4" hidden="1" outlineLevel="2" x14ac:dyDescent="0.3">
      <c r="B260" s="1132"/>
      <c r="C260" s="569"/>
      <c r="D260" s="570"/>
    </row>
    <row r="261" spans="2:4" hidden="1" outlineLevel="2" x14ac:dyDescent="0.3">
      <c r="B261" s="1132"/>
      <c r="C261" s="569"/>
      <c r="D261" s="570"/>
    </row>
    <row r="262" spans="2:4" hidden="1" outlineLevel="2" x14ac:dyDescent="0.3">
      <c r="B262" s="1132"/>
      <c r="C262" s="569"/>
      <c r="D262" s="570"/>
    </row>
    <row r="263" spans="2:4" hidden="1" outlineLevel="2" x14ac:dyDescent="0.3">
      <c r="B263" s="1132"/>
      <c r="C263" s="569"/>
      <c r="D263" s="570"/>
    </row>
    <row r="264" spans="2:4" hidden="1" outlineLevel="1" x14ac:dyDescent="0.3">
      <c r="B264" s="1132"/>
      <c r="C264" s="569"/>
      <c r="D264" s="570"/>
    </row>
    <row r="265" spans="2:4" hidden="1" outlineLevel="2" x14ac:dyDescent="0.3">
      <c r="B265" s="1132"/>
      <c r="C265" s="569"/>
      <c r="D265" s="570"/>
    </row>
    <row r="266" spans="2:4" hidden="1" outlineLevel="2" x14ac:dyDescent="0.3">
      <c r="B266" s="1132"/>
      <c r="C266" s="569"/>
      <c r="D266" s="570"/>
    </row>
    <row r="267" spans="2:4" hidden="1" outlineLevel="2" x14ac:dyDescent="0.3">
      <c r="B267" s="1132"/>
      <c r="C267" s="569"/>
      <c r="D267" s="570"/>
    </row>
    <row r="268" spans="2:4" hidden="1" outlineLevel="2" x14ac:dyDescent="0.3">
      <c r="B268" s="1132"/>
      <c r="C268" s="569"/>
      <c r="D268" s="570"/>
    </row>
    <row r="269" spans="2:4" hidden="1" outlineLevel="2" x14ac:dyDescent="0.3">
      <c r="B269" s="1132"/>
      <c r="C269" s="569"/>
      <c r="D269" s="570"/>
    </row>
    <row r="270" spans="2:4" hidden="1" outlineLevel="2" x14ac:dyDescent="0.3">
      <c r="B270" s="1132"/>
      <c r="C270" s="569"/>
      <c r="D270" s="570"/>
    </row>
    <row r="271" spans="2:4" hidden="1" outlineLevel="2" x14ac:dyDescent="0.3">
      <c r="B271" s="1132"/>
      <c r="C271" s="569"/>
      <c r="D271" s="570"/>
    </row>
    <row r="272" spans="2:4" hidden="1" outlineLevel="2" x14ac:dyDescent="0.3">
      <c r="B272" s="1132"/>
      <c r="C272" s="569"/>
      <c r="D272" s="570"/>
    </row>
    <row r="273" spans="2:4" hidden="1" outlineLevel="2" x14ac:dyDescent="0.3">
      <c r="B273" s="1132"/>
      <c r="C273" s="569"/>
      <c r="D273" s="570"/>
    </row>
    <row r="274" spans="2:4" hidden="1" outlineLevel="1" x14ac:dyDescent="0.3">
      <c r="B274" s="1132"/>
      <c r="C274" s="569"/>
      <c r="D274" s="570"/>
    </row>
    <row r="275" spans="2:4" hidden="1" outlineLevel="2" x14ac:dyDescent="0.3">
      <c r="B275" s="1132"/>
      <c r="C275" s="569"/>
      <c r="D275" s="570"/>
    </row>
    <row r="276" spans="2:4" hidden="1" outlineLevel="2" x14ac:dyDescent="0.3">
      <c r="B276" s="1132"/>
      <c r="C276" s="569"/>
      <c r="D276" s="570"/>
    </row>
    <row r="277" spans="2:4" hidden="1" outlineLevel="2" x14ac:dyDescent="0.3">
      <c r="B277" s="1132"/>
      <c r="C277" s="569"/>
      <c r="D277" s="570"/>
    </row>
    <row r="278" spans="2:4" hidden="1" outlineLevel="2" x14ac:dyDescent="0.3">
      <c r="B278" s="1132"/>
      <c r="C278" s="569"/>
      <c r="D278" s="570"/>
    </row>
    <row r="279" spans="2:4" hidden="1" outlineLevel="2" x14ac:dyDescent="0.3">
      <c r="B279" s="1132"/>
      <c r="C279" s="569"/>
      <c r="D279" s="570"/>
    </row>
    <row r="280" spans="2:4" hidden="1" outlineLevel="2" x14ac:dyDescent="0.3">
      <c r="B280" s="1132"/>
      <c r="C280" s="569"/>
      <c r="D280" s="570"/>
    </row>
    <row r="281" spans="2:4" hidden="1" outlineLevel="2" x14ac:dyDescent="0.3">
      <c r="B281" s="1132"/>
      <c r="C281" s="569"/>
      <c r="D281" s="570"/>
    </row>
    <row r="282" spans="2:4" hidden="1" outlineLevel="2" x14ac:dyDescent="0.3">
      <c r="B282" s="1132"/>
      <c r="C282" s="569"/>
      <c r="D282" s="570"/>
    </row>
    <row r="283" spans="2:4" hidden="1" outlineLevel="2" x14ac:dyDescent="0.3">
      <c r="B283" s="1132"/>
      <c r="C283" s="569"/>
      <c r="D283" s="570"/>
    </row>
    <row r="284" spans="2:4" hidden="1" outlineLevel="1" x14ac:dyDescent="0.3">
      <c r="B284" s="1132"/>
      <c r="C284" s="569"/>
      <c r="D284" s="570"/>
    </row>
    <row r="285" spans="2:4" hidden="1" outlineLevel="2" x14ac:dyDescent="0.3">
      <c r="B285" s="1132"/>
      <c r="C285" s="569"/>
      <c r="D285" s="570"/>
    </row>
    <row r="286" spans="2:4" hidden="1" outlineLevel="2" x14ac:dyDescent="0.3">
      <c r="B286" s="1132"/>
      <c r="C286" s="569"/>
      <c r="D286" s="570"/>
    </row>
    <row r="287" spans="2:4" hidden="1" outlineLevel="2" x14ac:dyDescent="0.3">
      <c r="B287" s="1132"/>
      <c r="C287" s="569"/>
      <c r="D287" s="570"/>
    </row>
    <row r="288" spans="2:4" hidden="1" outlineLevel="2" x14ac:dyDescent="0.3">
      <c r="B288" s="1132"/>
      <c r="C288" s="569"/>
      <c r="D288" s="570"/>
    </row>
    <row r="289" spans="2:4" hidden="1" outlineLevel="2" x14ac:dyDescent="0.3">
      <c r="B289" s="1132"/>
      <c r="C289" s="569"/>
      <c r="D289" s="570"/>
    </row>
    <row r="290" spans="2:4" hidden="1" outlineLevel="2" x14ac:dyDescent="0.3">
      <c r="B290" s="1132"/>
      <c r="C290" s="569"/>
      <c r="D290" s="570"/>
    </row>
    <row r="291" spans="2:4" hidden="1" outlineLevel="2" x14ac:dyDescent="0.3">
      <c r="B291" s="1132"/>
      <c r="C291" s="569"/>
      <c r="D291" s="570"/>
    </row>
    <row r="292" spans="2:4" hidden="1" outlineLevel="2" x14ac:dyDescent="0.3">
      <c r="B292" s="1132"/>
      <c r="C292" s="569"/>
      <c r="D292" s="570"/>
    </row>
    <row r="293" spans="2:4" hidden="1" outlineLevel="2" x14ac:dyDescent="0.3">
      <c r="B293" s="1132"/>
      <c r="C293" s="569"/>
      <c r="D293" s="570"/>
    </row>
    <row r="294" spans="2:4" hidden="1" outlineLevel="1" x14ac:dyDescent="0.3">
      <c r="B294" s="1132"/>
      <c r="C294" s="569"/>
      <c r="D294" s="570"/>
    </row>
    <row r="295" spans="2:4" hidden="1" outlineLevel="2" x14ac:dyDescent="0.3">
      <c r="B295" s="1132"/>
      <c r="C295" s="569"/>
      <c r="D295" s="570"/>
    </row>
    <row r="296" spans="2:4" hidden="1" outlineLevel="2" x14ac:dyDescent="0.3">
      <c r="B296" s="1132"/>
      <c r="C296" s="569"/>
      <c r="D296" s="570"/>
    </row>
    <row r="297" spans="2:4" hidden="1" outlineLevel="2" x14ac:dyDescent="0.3">
      <c r="B297" s="1132"/>
      <c r="C297" s="569"/>
      <c r="D297" s="570"/>
    </row>
    <row r="298" spans="2:4" hidden="1" outlineLevel="2" x14ac:dyDescent="0.3">
      <c r="B298" s="1132"/>
      <c r="C298" s="569"/>
      <c r="D298" s="570"/>
    </row>
    <row r="299" spans="2:4" hidden="1" outlineLevel="2" x14ac:dyDescent="0.3">
      <c r="B299" s="1132"/>
      <c r="C299" s="569"/>
      <c r="D299" s="570"/>
    </row>
    <row r="300" spans="2:4" hidden="1" outlineLevel="2" x14ac:dyDescent="0.3">
      <c r="B300" s="1132"/>
      <c r="C300" s="569"/>
      <c r="D300" s="570"/>
    </row>
    <row r="301" spans="2:4" hidden="1" outlineLevel="2" x14ac:dyDescent="0.3">
      <c r="B301" s="1132"/>
      <c r="C301" s="569"/>
      <c r="D301" s="570"/>
    </row>
    <row r="302" spans="2:4" hidden="1" outlineLevel="2" x14ac:dyDescent="0.3">
      <c r="B302" s="1132"/>
      <c r="C302" s="569"/>
      <c r="D302" s="570"/>
    </row>
    <row r="303" spans="2:4" hidden="1" outlineLevel="2" x14ac:dyDescent="0.3">
      <c r="B303" s="1132"/>
      <c r="C303" s="569"/>
      <c r="D303" s="570"/>
    </row>
    <row r="304" spans="2:4" hidden="1" outlineLevel="1" x14ac:dyDescent="0.3">
      <c r="B304" s="1132"/>
      <c r="C304" s="569"/>
      <c r="D304" s="570"/>
    </row>
    <row r="305" spans="2:4" hidden="1" outlineLevel="2" x14ac:dyDescent="0.3">
      <c r="B305" s="1132"/>
      <c r="C305" s="569"/>
      <c r="D305" s="570"/>
    </row>
    <row r="306" spans="2:4" hidden="1" outlineLevel="2" x14ac:dyDescent="0.3">
      <c r="B306" s="1132"/>
      <c r="C306" s="569"/>
      <c r="D306" s="570"/>
    </row>
    <row r="307" spans="2:4" hidden="1" outlineLevel="2" x14ac:dyDescent="0.3">
      <c r="B307" s="1132"/>
      <c r="C307" s="569"/>
      <c r="D307" s="570"/>
    </row>
    <row r="308" spans="2:4" hidden="1" outlineLevel="2" x14ac:dyDescent="0.3">
      <c r="B308" s="1132"/>
      <c r="C308" s="569"/>
      <c r="D308" s="570"/>
    </row>
    <row r="309" spans="2:4" hidden="1" outlineLevel="2" x14ac:dyDescent="0.3">
      <c r="B309" s="1132"/>
      <c r="C309" s="569"/>
      <c r="D309" s="570"/>
    </row>
    <row r="310" spans="2:4" hidden="1" outlineLevel="2" x14ac:dyDescent="0.3">
      <c r="B310" s="1132"/>
      <c r="C310" s="569"/>
      <c r="D310" s="570"/>
    </row>
    <row r="311" spans="2:4" hidden="1" outlineLevel="2" x14ac:dyDescent="0.3">
      <c r="B311" s="1132"/>
      <c r="C311" s="569"/>
      <c r="D311" s="570"/>
    </row>
    <row r="312" spans="2:4" hidden="1" outlineLevel="2" x14ac:dyDescent="0.3">
      <c r="B312" s="1132"/>
      <c r="C312" s="569"/>
      <c r="D312" s="570"/>
    </row>
    <row r="313" spans="2:4" hidden="1" outlineLevel="2" x14ac:dyDescent="0.3">
      <c r="B313" s="1132"/>
      <c r="C313" s="569"/>
      <c r="D313" s="570"/>
    </row>
    <row r="314" spans="2:4" hidden="1" outlineLevel="1" x14ac:dyDescent="0.3">
      <c r="B314" s="1132"/>
      <c r="C314" s="569"/>
      <c r="D314" s="570"/>
    </row>
    <row r="315" spans="2:4" hidden="1" outlineLevel="2" x14ac:dyDescent="0.3">
      <c r="B315" s="1132"/>
      <c r="C315" s="569"/>
      <c r="D315" s="570"/>
    </row>
    <row r="316" spans="2:4" hidden="1" outlineLevel="2" x14ac:dyDescent="0.3">
      <c r="B316" s="1132"/>
      <c r="C316" s="569"/>
      <c r="D316" s="570"/>
    </row>
    <row r="317" spans="2:4" hidden="1" outlineLevel="2" x14ac:dyDescent="0.3">
      <c r="B317" s="1132"/>
      <c r="C317" s="569"/>
      <c r="D317" s="570"/>
    </row>
    <row r="318" spans="2:4" hidden="1" outlineLevel="2" x14ac:dyDescent="0.3">
      <c r="B318" s="1132"/>
      <c r="C318" s="569"/>
      <c r="D318" s="570"/>
    </row>
    <row r="319" spans="2:4" hidden="1" outlineLevel="2" x14ac:dyDescent="0.3">
      <c r="B319" s="1132"/>
      <c r="C319" s="569"/>
      <c r="D319" s="570"/>
    </row>
    <row r="320" spans="2:4" hidden="1" outlineLevel="2" x14ac:dyDescent="0.3">
      <c r="B320" s="1132"/>
      <c r="C320" s="569"/>
      <c r="D320" s="570"/>
    </row>
    <row r="321" spans="2:4" hidden="1" outlineLevel="2" x14ac:dyDescent="0.3">
      <c r="B321" s="1132"/>
      <c r="C321" s="569"/>
      <c r="D321" s="570"/>
    </row>
    <row r="322" spans="2:4" hidden="1" outlineLevel="2" x14ac:dyDescent="0.3">
      <c r="B322" s="1132"/>
      <c r="C322" s="569"/>
      <c r="D322" s="570"/>
    </row>
    <row r="323" spans="2:4" hidden="1" outlineLevel="2" x14ac:dyDescent="0.3">
      <c r="B323" s="1132"/>
      <c r="C323" s="569"/>
      <c r="D323" s="570"/>
    </row>
    <row r="324" spans="2:4" hidden="1" outlineLevel="1" x14ac:dyDescent="0.3">
      <c r="B324" s="1132"/>
      <c r="C324" s="569"/>
      <c r="D324" s="570"/>
    </row>
    <row r="325" spans="2:4" hidden="1" outlineLevel="2" x14ac:dyDescent="0.3">
      <c r="B325" s="1132"/>
      <c r="C325" s="569"/>
      <c r="D325" s="570"/>
    </row>
    <row r="326" spans="2:4" hidden="1" outlineLevel="2" x14ac:dyDescent="0.3">
      <c r="B326" s="1132"/>
      <c r="C326" s="569"/>
      <c r="D326" s="570"/>
    </row>
    <row r="327" spans="2:4" hidden="1" outlineLevel="2" x14ac:dyDescent="0.3">
      <c r="B327" s="1132"/>
      <c r="C327" s="569"/>
      <c r="D327" s="570"/>
    </row>
    <row r="328" spans="2:4" hidden="1" outlineLevel="2" x14ac:dyDescent="0.3">
      <c r="B328" s="1132"/>
      <c r="C328" s="569"/>
      <c r="D328" s="570"/>
    </row>
    <row r="329" spans="2:4" hidden="1" outlineLevel="2" x14ac:dyDescent="0.3">
      <c r="B329" s="1132"/>
      <c r="C329" s="569"/>
      <c r="D329" s="570"/>
    </row>
    <row r="330" spans="2:4" hidden="1" outlineLevel="2" x14ac:dyDescent="0.3">
      <c r="B330" s="1132"/>
      <c r="C330" s="569"/>
      <c r="D330" s="570"/>
    </row>
    <row r="331" spans="2:4" hidden="1" outlineLevel="2" x14ac:dyDescent="0.3">
      <c r="B331" s="1132"/>
      <c r="C331" s="569"/>
      <c r="D331" s="570"/>
    </row>
    <row r="332" spans="2:4" hidden="1" outlineLevel="2" x14ac:dyDescent="0.3">
      <c r="B332" s="1132"/>
      <c r="C332" s="569"/>
      <c r="D332" s="570"/>
    </row>
    <row r="333" spans="2:4" hidden="1" outlineLevel="2" x14ac:dyDescent="0.3">
      <c r="B333" s="1132"/>
      <c r="C333" s="569"/>
      <c r="D333" s="570"/>
    </row>
    <row r="334" spans="2:4" hidden="1" outlineLevel="1" x14ac:dyDescent="0.3">
      <c r="B334" s="1132"/>
      <c r="C334" s="569"/>
      <c r="D334" s="570"/>
    </row>
    <row r="335" spans="2:4" hidden="1" outlineLevel="2" x14ac:dyDescent="0.3">
      <c r="B335" s="1132"/>
      <c r="C335" s="569"/>
      <c r="D335" s="570"/>
    </row>
    <row r="336" spans="2:4" hidden="1" outlineLevel="2" x14ac:dyDescent="0.3">
      <c r="B336" s="1132"/>
      <c r="C336" s="569"/>
      <c r="D336" s="570"/>
    </row>
    <row r="337" spans="2:4" hidden="1" outlineLevel="2" x14ac:dyDescent="0.3">
      <c r="B337" s="1132"/>
      <c r="C337" s="569"/>
      <c r="D337" s="570"/>
    </row>
    <row r="338" spans="2:4" hidden="1" outlineLevel="2" x14ac:dyDescent="0.3">
      <c r="B338" s="1132"/>
      <c r="C338" s="569"/>
      <c r="D338" s="570"/>
    </row>
    <row r="339" spans="2:4" hidden="1" outlineLevel="2" x14ac:dyDescent="0.3">
      <c r="B339" s="1132"/>
      <c r="C339" s="569"/>
      <c r="D339" s="570"/>
    </row>
    <row r="340" spans="2:4" hidden="1" outlineLevel="2" x14ac:dyDescent="0.3">
      <c r="B340" s="1132"/>
      <c r="C340" s="569"/>
      <c r="D340" s="570"/>
    </row>
    <row r="341" spans="2:4" hidden="1" outlineLevel="2" x14ac:dyDescent="0.3">
      <c r="B341" s="1132"/>
      <c r="C341" s="569"/>
      <c r="D341" s="570"/>
    </row>
    <row r="342" spans="2:4" hidden="1" outlineLevel="2" x14ac:dyDescent="0.3">
      <c r="B342" s="1132"/>
      <c r="C342" s="569"/>
      <c r="D342" s="570"/>
    </row>
    <row r="343" spans="2:4" hidden="1" outlineLevel="2" x14ac:dyDescent="0.3">
      <c r="B343" s="1132"/>
      <c r="C343" s="569"/>
      <c r="D343" s="570"/>
    </row>
    <row r="344" spans="2:4" hidden="1" outlineLevel="1" x14ac:dyDescent="0.3">
      <c r="B344" s="1132"/>
      <c r="C344" s="569"/>
      <c r="D344" s="570"/>
    </row>
    <row r="345" spans="2:4" hidden="1" outlineLevel="2" x14ac:dyDescent="0.3">
      <c r="B345" s="1132"/>
      <c r="C345" s="569"/>
      <c r="D345" s="570"/>
    </row>
    <row r="346" spans="2:4" hidden="1" outlineLevel="2" x14ac:dyDescent="0.3">
      <c r="B346" s="1132"/>
      <c r="C346" s="569"/>
      <c r="D346" s="570"/>
    </row>
    <row r="347" spans="2:4" hidden="1" outlineLevel="2" x14ac:dyDescent="0.3">
      <c r="B347" s="1132"/>
      <c r="C347" s="569"/>
      <c r="D347" s="570"/>
    </row>
    <row r="348" spans="2:4" hidden="1" outlineLevel="2" x14ac:dyDescent="0.3">
      <c r="B348" s="1132"/>
      <c r="C348" s="569"/>
      <c r="D348" s="570"/>
    </row>
    <row r="349" spans="2:4" hidden="1" outlineLevel="2" x14ac:dyDescent="0.3">
      <c r="B349" s="1132"/>
      <c r="C349" s="569"/>
      <c r="D349" s="570"/>
    </row>
    <row r="350" spans="2:4" hidden="1" outlineLevel="2" x14ac:dyDescent="0.3">
      <c r="B350" s="1132"/>
      <c r="C350" s="569"/>
      <c r="D350" s="570"/>
    </row>
    <row r="351" spans="2:4" hidden="1" outlineLevel="2" x14ac:dyDescent="0.3">
      <c r="B351" s="1132"/>
      <c r="C351" s="569"/>
      <c r="D351" s="570"/>
    </row>
    <row r="352" spans="2:4" hidden="1" outlineLevel="2" x14ac:dyDescent="0.3">
      <c r="B352" s="1132"/>
      <c r="C352" s="569"/>
      <c r="D352" s="570"/>
    </row>
    <row r="353" spans="2:4" hidden="1" outlineLevel="2" x14ac:dyDescent="0.3">
      <c r="B353" s="1132"/>
      <c r="C353" s="569"/>
      <c r="D353" s="570"/>
    </row>
    <row r="354" spans="2:4" hidden="1" outlineLevel="1" x14ac:dyDescent="0.3">
      <c r="B354" s="1132"/>
      <c r="C354" s="569"/>
      <c r="D354" s="570"/>
    </row>
    <row r="355" spans="2:4" hidden="1" outlineLevel="2" x14ac:dyDescent="0.3">
      <c r="B355" s="1132"/>
      <c r="C355" s="569"/>
      <c r="D355" s="570"/>
    </row>
    <row r="356" spans="2:4" hidden="1" outlineLevel="2" x14ac:dyDescent="0.3">
      <c r="B356" s="1132"/>
      <c r="C356" s="569"/>
      <c r="D356" s="570"/>
    </row>
    <row r="357" spans="2:4" hidden="1" outlineLevel="2" x14ac:dyDescent="0.3">
      <c r="B357" s="1132"/>
      <c r="C357" s="569"/>
      <c r="D357" s="570"/>
    </row>
    <row r="358" spans="2:4" hidden="1" outlineLevel="2" x14ac:dyDescent="0.3">
      <c r="B358" s="1132"/>
      <c r="C358" s="569"/>
      <c r="D358" s="570"/>
    </row>
    <row r="359" spans="2:4" hidden="1" outlineLevel="2" x14ac:dyDescent="0.3">
      <c r="B359" s="1132"/>
      <c r="C359" s="569"/>
      <c r="D359" s="570"/>
    </row>
    <row r="360" spans="2:4" hidden="1" outlineLevel="2" x14ac:dyDescent="0.3">
      <c r="B360" s="1132"/>
      <c r="C360" s="569"/>
      <c r="D360" s="570"/>
    </row>
    <row r="361" spans="2:4" hidden="1" outlineLevel="2" x14ac:dyDescent="0.3">
      <c r="B361" s="1132"/>
      <c r="C361" s="569"/>
      <c r="D361" s="570"/>
    </row>
    <row r="362" spans="2:4" hidden="1" outlineLevel="2" x14ac:dyDescent="0.3">
      <c r="B362" s="1132"/>
      <c r="C362" s="569"/>
      <c r="D362" s="570"/>
    </row>
    <row r="363" spans="2:4" hidden="1" outlineLevel="2" x14ac:dyDescent="0.3">
      <c r="B363" s="1132"/>
      <c r="C363" s="569"/>
      <c r="D363" s="570"/>
    </row>
    <row r="364" spans="2:4" hidden="1" outlineLevel="1" x14ac:dyDescent="0.3">
      <c r="B364" s="1132"/>
      <c r="C364" s="569"/>
      <c r="D364" s="570"/>
    </row>
    <row r="365" spans="2:4" hidden="1" outlineLevel="2" x14ac:dyDescent="0.3">
      <c r="B365" s="1132"/>
      <c r="C365" s="569"/>
      <c r="D365" s="570"/>
    </row>
    <row r="366" spans="2:4" hidden="1" outlineLevel="2" x14ac:dyDescent="0.3">
      <c r="B366" s="1132"/>
      <c r="C366" s="569"/>
      <c r="D366" s="570"/>
    </row>
    <row r="367" spans="2:4" hidden="1" outlineLevel="2" x14ac:dyDescent="0.3">
      <c r="B367" s="1132"/>
      <c r="C367" s="569"/>
      <c r="D367" s="570"/>
    </row>
    <row r="368" spans="2:4" hidden="1" outlineLevel="2" x14ac:dyDescent="0.3">
      <c r="B368" s="1132"/>
      <c r="C368" s="569"/>
      <c r="D368" s="570"/>
    </row>
    <row r="369" spans="2:4" hidden="1" outlineLevel="2" x14ac:dyDescent="0.3">
      <c r="B369" s="1132"/>
      <c r="C369" s="569"/>
      <c r="D369" s="570"/>
    </row>
    <row r="370" spans="2:4" hidden="1" outlineLevel="2" x14ac:dyDescent="0.3">
      <c r="B370" s="1132"/>
      <c r="C370" s="569"/>
      <c r="D370" s="570"/>
    </row>
    <row r="371" spans="2:4" hidden="1" outlineLevel="2" x14ac:dyDescent="0.3">
      <c r="B371" s="1132"/>
      <c r="C371" s="569"/>
      <c r="D371" s="570"/>
    </row>
    <row r="372" spans="2:4" hidden="1" outlineLevel="2" x14ac:dyDescent="0.3">
      <c r="B372" s="1132"/>
      <c r="C372" s="569"/>
      <c r="D372" s="570"/>
    </row>
    <row r="373" spans="2:4" hidden="1" outlineLevel="2" x14ac:dyDescent="0.3">
      <c r="B373" s="1132"/>
      <c r="C373" s="569"/>
      <c r="D373" s="570"/>
    </row>
    <row r="374" spans="2:4" hidden="1" outlineLevel="1" x14ac:dyDescent="0.3">
      <c r="B374" s="1132"/>
      <c r="C374" s="569"/>
      <c r="D374" s="570"/>
    </row>
    <row r="375" spans="2:4" hidden="1" outlineLevel="2" x14ac:dyDescent="0.3">
      <c r="B375" s="1132"/>
      <c r="C375" s="569"/>
      <c r="D375" s="570"/>
    </row>
    <row r="376" spans="2:4" hidden="1" outlineLevel="2" x14ac:dyDescent="0.3">
      <c r="B376" s="1132"/>
      <c r="C376" s="569"/>
      <c r="D376" s="570"/>
    </row>
    <row r="377" spans="2:4" hidden="1" outlineLevel="2" x14ac:dyDescent="0.3">
      <c r="B377" s="1132"/>
      <c r="C377" s="569"/>
      <c r="D377" s="570"/>
    </row>
    <row r="378" spans="2:4" hidden="1" outlineLevel="2" x14ac:dyDescent="0.3">
      <c r="B378" s="1132"/>
      <c r="C378" s="569"/>
      <c r="D378" s="570"/>
    </row>
    <row r="379" spans="2:4" hidden="1" outlineLevel="2" x14ac:dyDescent="0.3">
      <c r="B379" s="1132"/>
      <c r="C379" s="569"/>
      <c r="D379" s="570"/>
    </row>
    <row r="380" spans="2:4" hidden="1" outlineLevel="2" x14ac:dyDescent="0.3">
      <c r="B380" s="1132"/>
      <c r="C380" s="569"/>
      <c r="D380" s="570"/>
    </row>
    <row r="381" spans="2:4" hidden="1" outlineLevel="2" x14ac:dyDescent="0.3">
      <c r="B381" s="1132"/>
      <c r="C381" s="569"/>
      <c r="D381" s="570"/>
    </row>
    <row r="382" spans="2:4" hidden="1" outlineLevel="2" x14ac:dyDescent="0.3">
      <c r="B382" s="1132"/>
      <c r="C382" s="569"/>
      <c r="D382" s="570"/>
    </row>
    <row r="383" spans="2:4" hidden="1" outlineLevel="2" x14ac:dyDescent="0.3">
      <c r="B383" s="1132"/>
      <c r="C383" s="569"/>
      <c r="D383" s="570"/>
    </row>
    <row r="384" spans="2:4" hidden="1" outlineLevel="1" x14ac:dyDescent="0.3">
      <c r="B384" s="1132"/>
      <c r="C384" s="569"/>
      <c r="D384" s="570"/>
    </row>
    <row r="385" spans="2:4" hidden="1" outlineLevel="2" x14ac:dyDescent="0.3">
      <c r="B385" s="1132"/>
      <c r="C385" s="569"/>
      <c r="D385" s="570"/>
    </row>
    <row r="386" spans="2:4" hidden="1" outlineLevel="2" x14ac:dyDescent="0.3">
      <c r="B386" s="1132"/>
      <c r="C386" s="569"/>
      <c r="D386" s="570"/>
    </row>
    <row r="387" spans="2:4" hidden="1" outlineLevel="2" x14ac:dyDescent="0.3">
      <c r="B387" s="1132"/>
      <c r="C387" s="569"/>
      <c r="D387" s="570"/>
    </row>
    <row r="388" spans="2:4" hidden="1" outlineLevel="2" x14ac:dyDescent="0.3">
      <c r="B388" s="1132"/>
      <c r="C388" s="569"/>
      <c r="D388" s="570"/>
    </row>
    <row r="389" spans="2:4" hidden="1" outlineLevel="2" x14ac:dyDescent="0.3">
      <c r="B389" s="1132"/>
      <c r="C389" s="569"/>
      <c r="D389" s="570"/>
    </row>
    <row r="390" spans="2:4" hidden="1" outlineLevel="2" x14ac:dyDescent="0.3">
      <c r="B390" s="1132"/>
      <c r="C390" s="569"/>
      <c r="D390" s="570"/>
    </row>
    <row r="391" spans="2:4" hidden="1" outlineLevel="2" x14ac:dyDescent="0.3">
      <c r="B391" s="1132"/>
      <c r="C391" s="569"/>
      <c r="D391" s="570"/>
    </row>
    <row r="392" spans="2:4" hidden="1" outlineLevel="2" x14ac:dyDescent="0.3">
      <c r="B392" s="1132"/>
      <c r="C392" s="569"/>
      <c r="D392" s="570"/>
    </row>
    <row r="393" spans="2:4" hidden="1" outlineLevel="2" x14ac:dyDescent="0.3">
      <c r="B393" s="1132"/>
      <c r="C393" s="569"/>
      <c r="D393" s="570"/>
    </row>
    <row r="394" spans="2:4" hidden="1" outlineLevel="1" x14ac:dyDescent="0.3">
      <c r="B394" s="1132"/>
      <c r="C394" s="569"/>
      <c r="D394" s="570"/>
    </row>
    <row r="395" spans="2:4" hidden="1" outlineLevel="2" x14ac:dyDescent="0.3">
      <c r="B395" s="1132"/>
      <c r="C395" s="569"/>
      <c r="D395" s="570"/>
    </row>
    <row r="396" spans="2:4" hidden="1" outlineLevel="2" x14ac:dyDescent="0.3">
      <c r="B396" s="1132"/>
      <c r="C396" s="569"/>
      <c r="D396" s="570"/>
    </row>
    <row r="397" spans="2:4" hidden="1" outlineLevel="2" x14ac:dyDescent="0.3">
      <c r="B397" s="1132"/>
      <c r="C397" s="569"/>
      <c r="D397" s="570"/>
    </row>
    <row r="398" spans="2:4" hidden="1" outlineLevel="2" x14ac:dyDescent="0.3">
      <c r="B398" s="1132"/>
      <c r="C398" s="569"/>
      <c r="D398" s="570"/>
    </row>
    <row r="399" spans="2:4" hidden="1" outlineLevel="2" x14ac:dyDescent="0.3">
      <c r="B399" s="1132"/>
      <c r="C399" s="569"/>
      <c r="D399" s="570"/>
    </row>
    <row r="400" spans="2:4" hidden="1" outlineLevel="2" x14ac:dyDescent="0.3">
      <c r="B400" s="1132"/>
      <c r="C400" s="569"/>
      <c r="D400" s="570"/>
    </row>
    <row r="401" spans="2:4" hidden="1" outlineLevel="2" x14ac:dyDescent="0.3">
      <c r="B401" s="1132"/>
      <c r="C401" s="569"/>
      <c r="D401" s="570"/>
    </row>
    <row r="402" spans="2:4" hidden="1" outlineLevel="2" x14ac:dyDescent="0.3">
      <c r="B402" s="1132"/>
      <c r="C402" s="569"/>
      <c r="D402" s="570"/>
    </row>
    <row r="403" spans="2:4" hidden="1" outlineLevel="2" x14ac:dyDescent="0.3">
      <c r="B403" s="1132"/>
      <c r="C403" s="569"/>
      <c r="D403" s="570"/>
    </row>
    <row r="404" spans="2:4" hidden="1" outlineLevel="1" x14ac:dyDescent="0.3">
      <c r="B404" s="1132"/>
      <c r="C404" s="569"/>
      <c r="D404" s="570"/>
    </row>
    <row r="405" spans="2:4" hidden="1" outlineLevel="2" x14ac:dyDescent="0.3">
      <c r="B405" s="1132"/>
      <c r="C405" s="569"/>
      <c r="D405" s="570"/>
    </row>
    <row r="406" spans="2:4" hidden="1" outlineLevel="2" x14ac:dyDescent="0.3">
      <c r="B406" s="1132"/>
      <c r="C406" s="569"/>
      <c r="D406" s="570"/>
    </row>
    <row r="407" spans="2:4" hidden="1" outlineLevel="2" x14ac:dyDescent="0.3">
      <c r="B407" s="1132"/>
      <c r="C407" s="569"/>
      <c r="D407" s="570"/>
    </row>
    <row r="408" spans="2:4" hidden="1" outlineLevel="2" x14ac:dyDescent="0.3">
      <c r="B408" s="1132"/>
      <c r="C408" s="569"/>
      <c r="D408" s="570"/>
    </row>
    <row r="409" spans="2:4" hidden="1" outlineLevel="2" x14ac:dyDescent="0.3">
      <c r="B409" s="1132"/>
      <c r="C409" s="569"/>
      <c r="D409" s="570"/>
    </row>
    <row r="410" spans="2:4" hidden="1" outlineLevel="2" x14ac:dyDescent="0.3">
      <c r="B410" s="1132"/>
      <c r="C410" s="569"/>
      <c r="D410" s="570"/>
    </row>
    <row r="411" spans="2:4" hidden="1" outlineLevel="2" x14ac:dyDescent="0.3">
      <c r="B411" s="1132"/>
      <c r="C411" s="569"/>
      <c r="D411" s="570"/>
    </row>
    <row r="412" spans="2:4" hidden="1" outlineLevel="2" x14ac:dyDescent="0.3">
      <c r="B412" s="1132"/>
      <c r="C412" s="569"/>
      <c r="D412" s="570"/>
    </row>
    <row r="413" spans="2:4" hidden="1" outlineLevel="2" x14ac:dyDescent="0.3">
      <c r="B413" s="1132"/>
      <c r="C413" s="569"/>
      <c r="D413" s="570"/>
    </row>
    <row r="414" spans="2:4" hidden="1" outlineLevel="1" x14ac:dyDescent="0.3">
      <c r="B414" s="1132"/>
      <c r="C414" s="569"/>
      <c r="D414" s="570"/>
    </row>
    <row r="415" spans="2:4" hidden="1" outlineLevel="2" x14ac:dyDescent="0.3">
      <c r="B415" s="1132"/>
      <c r="C415" s="569"/>
      <c r="D415" s="570"/>
    </row>
    <row r="416" spans="2:4" hidden="1" outlineLevel="2" x14ac:dyDescent="0.3">
      <c r="B416" s="1132"/>
      <c r="C416" s="569"/>
      <c r="D416" s="570"/>
    </row>
    <row r="417" spans="2:4" hidden="1" outlineLevel="2" x14ac:dyDescent="0.3">
      <c r="B417" s="1132"/>
      <c r="C417" s="569"/>
      <c r="D417" s="570"/>
    </row>
    <row r="418" spans="2:4" hidden="1" outlineLevel="2" x14ac:dyDescent="0.3">
      <c r="B418" s="1132"/>
      <c r="C418" s="569"/>
      <c r="D418" s="570"/>
    </row>
    <row r="419" spans="2:4" hidden="1" outlineLevel="2" x14ac:dyDescent="0.3">
      <c r="B419" s="1132"/>
      <c r="C419" s="569"/>
      <c r="D419" s="570"/>
    </row>
    <row r="420" spans="2:4" hidden="1" outlineLevel="2" x14ac:dyDescent="0.3">
      <c r="B420" s="1132"/>
      <c r="C420" s="569"/>
      <c r="D420" s="570"/>
    </row>
    <row r="421" spans="2:4" hidden="1" outlineLevel="2" x14ac:dyDescent="0.3">
      <c r="B421" s="1132"/>
      <c r="C421" s="569"/>
      <c r="D421" s="570"/>
    </row>
    <row r="422" spans="2:4" hidden="1" outlineLevel="2" x14ac:dyDescent="0.3">
      <c r="B422" s="1132"/>
      <c r="C422" s="569"/>
      <c r="D422" s="570"/>
    </row>
    <row r="423" spans="2:4" hidden="1" outlineLevel="2" x14ac:dyDescent="0.3">
      <c r="B423" s="1132"/>
      <c r="C423" s="569"/>
      <c r="D423" s="570"/>
    </row>
    <row r="424" spans="2:4" hidden="1" outlineLevel="1" x14ac:dyDescent="0.3">
      <c r="B424" s="1132"/>
      <c r="C424" s="569"/>
      <c r="D424" s="570"/>
    </row>
    <row r="425" spans="2:4" hidden="1" outlineLevel="2" x14ac:dyDescent="0.3">
      <c r="B425" s="1132"/>
      <c r="C425" s="569"/>
      <c r="D425" s="570"/>
    </row>
    <row r="426" spans="2:4" hidden="1" outlineLevel="2" x14ac:dyDescent="0.3">
      <c r="B426" s="1132"/>
      <c r="C426" s="569"/>
      <c r="D426" s="570"/>
    </row>
    <row r="427" spans="2:4" hidden="1" outlineLevel="2" x14ac:dyDescent="0.3">
      <c r="B427" s="1132"/>
      <c r="C427" s="569"/>
      <c r="D427" s="570"/>
    </row>
    <row r="428" spans="2:4" hidden="1" outlineLevel="2" x14ac:dyDescent="0.3">
      <c r="B428" s="1132"/>
      <c r="C428" s="569"/>
      <c r="D428" s="570"/>
    </row>
    <row r="429" spans="2:4" hidden="1" outlineLevel="2" x14ac:dyDescent="0.3">
      <c r="B429" s="1132"/>
      <c r="C429" s="569"/>
      <c r="D429" s="570"/>
    </row>
    <row r="430" spans="2:4" hidden="1" outlineLevel="2" x14ac:dyDescent="0.3">
      <c r="B430" s="1132"/>
      <c r="C430" s="569"/>
      <c r="D430" s="570"/>
    </row>
    <row r="431" spans="2:4" hidden="1" outlineLevel="2" x14ac:dyDescent="0.3">
      <c r="B431" s="1132"/>
      <c r="C431" s="569"/>
      <c r="D431" s="570"/>
    </row>
    <row r="432" spans="2:4" hidden="1" outlineLevel="2" x14ac:dyDescent="0.3">
      <c r="B432" s="1132"/>
      <c r="C432" s="569"/>
      <c r="D432" s="570"/>
    </row>
    <row r="433" spans="2:4" hidden="1" outlineLevel="2" x14ac:dyDescent="0.3">
      <c r="B433" s="1132"/>
      <c r="C433" s="569"/>
      <c r="D433" s="570"/>
    </row>
    <row r="434" spans="2:4" hidden="1" outlineLevel="1" x14ac:dyDescent="0.3">
      <c r="B434" s="1132"/>
      <c r="C434" s="569"/>
      <c r="D434" s="570"/>
    </row>
    <row r="435" spans="2:4" hidden="1" outlineLevel="2" x14ac:dyDescent="0.3">
      <c r="B435" s="1132"/>
      <c r="C435" s="569"/>
      <c r="D435" s="570"/>
    </row>
    <row r="436" spans="2:4" hidden="1" outlineLevel="2" x14ac:dyDescent="0.3">
      <c r="B436" s="1132"/>
      <c r="C436" s="569"/>
      <c r="D436" s="570"/>
    </row>
    <row r="437" spans="2:4" hidden="1" outlineLevel="2" x14ac:dyDescent="0.3">
      <c r="B437" s="1132"/>
      <c r="C437" s="569"/>
      <c r="D437" s="570"/>
    </row>
    <row r="438" spans="2:4" hidden="1" outlineLevel="2" x14ac:dyDescent="0.3">
      <c r="B438" s="1132"/>
      <c r="C438" s="569"/>
      <c r="D438" s="570"/>
    </row>
    <row r="439" spans="2:4" hidden="1" outlineLevel="2" x14ac:dyDescent="0.3">
      <c r="B439" s="1132"/>
      <c r="C439" s="569"/>
      <c r="D439" s="570"/>
    </row>
    <row r="440" spans="2:4" hidden="1" outlineLevel="2" x14ac:dyDescent="0.3">
      <c r="B440" s="1132"/>
      <c r="C440" s="569"/>
      <c r="D440" s="570"/>
    </row>
    <row r="441" spans="2:4" hidden="1" outlineLevel="2" x14ac:dyDescent="0.3">
      <c r="B441" s="1132"/>
      <c r="C441" s="569"/>
      <c r="D441" s="570"/>
    </row>
    <row r="442" spans="2:4" hidden="1" outlineLevel="2" x14ac:dyDescent="0.3">
      <c r="B442" s="1132"/>
      <c r="C442" s="569"/>
      <c r="D442" s="570"/>
    </row>
    <row r="443" spans="2:4" hidden="1" outlineLevel="2" x14ac:dyDescent="0.3">
      <c r="B443" s="1132"/>
      <c r="C443" s="569"/>
      <c r="D443" s="570"/>
    </row>
    <row r="444" spans="2:4" hidden="1" outlineLevel="1" x14ac:dyDescent="0.3">
      <c r="B444" s="1132"/>
      <c r="C444" s="569"/>
      <c r="D444" s="570"/>
    </row>
    <row r="445" spans="2:4" hidden="1" outlineLevel="2" x14ac:dyDescent="0.3">
      <c r="B445" s="1132"/>
      <c r="C445" s="569"/>
      <c r="D445" s="570"/>
    </row>
    <row r="446" spans="2:4" hidden="1" outlineLevel="2" x14ac:dyDescent="0.3">
      <c r="B446" s="1132"/>
      <c r="C446" s="569"/>
      <c r="D446" s="570"/>
    </row>
    <row r="447" spans="2:4" hidden="1" outlineLevel="2" x14ac:dyDescent="0.3">
      <c r="B447" s="1132"/>
      <c r="C447" s="569"/>
      <c r="D447" s="570"/>
    </row>
    <row r="448" spans="2:4" hidden="1" outlineLevel="2" x14ac:dyDescent="0.3">
      <c r="B448" s="1132"/>
      <c r="C448" s="569"/>
      <c r="D448" s="570"/>
    </row>
    <row r="449" spans="2:4" hidden="1" outlineLevel="2" x14ac:dyDescent="0.3">
      <c r="B449" s="1132"/>
      <c r="C449" s="569"/>
      <c r="D449" s="570"/>
    </row>
    <row r="450" spans="2:4" hidden="1" outlineLevel="2" x14ac:dyDescent="0.3">
      <c r="B450" s="1132"/>
      <c r="C450" s="569"/>
      <c r="D450" s="570"/>
    </row>
    <row r="451" spans="2:4" hidden="1" outlineLevel="2" x14ac:dyDescent="0.3">
      <c r="B451" s="1132"/>
      <c r="C451" s="569"/>
      <c r="D451" s="570"/>
    </row>
    <row r="452" spans="2:4" hidden="1" outlineLevel="2" x14ac:dyDescent="0.3">
      <c r="B452" s="1132"/>
      <c r="C452" s="569"/>
      <c r="D452" s="570"/>
    </row>
    <row r="453" spans="2:4" hidden="1" outlineLevel="2" x14ac:dyDescent="0.3">
      <c r="B453" s="1132"/>
      <c r="C453" s="569"/>
      <c r="D453" s="570"/>
    </row>
    <row r="454" spans="2:4" hidden="1" outlineLevel="1" x14ac:dyDescent="0.3">
      <c r="B454" s="1132"/>
      <c r="C454" s="569"/>
      <c r="D454" s="570"/>
    </row>
    <row r="455" spans="2:4" hidden="1" outlineLevel="2" x14ac:dyDescent="0.3">
      <c r="B455" s="1132"/>
      <c r="C455" s="569"/>
      <c r="D455" s="570"/>
    </row>
    <row r="456" spans="2:4" hidden="1" outlineLevel="2" x14ac:dyDescent="0.3">
      <c r="B456" s="1132"/>
      <c r="C456" s="569"/>
      <c r="D456" s="570"/>
    </row>
    <row r="457" spans="2:4" hidden="1" outlineLevel="2" x14ac:dyDescent="0.3">
      <c r="B457" s="1132"/>
      <c r="C457" s="569"/>
      <c r="D457" s="570"/>
    </row>
    <row r="458" spans="2:4" hidden="1" outlineLevel="2" x14ac:dyDescent="0.3">
      <c r="B458" s="1132"/>
      <c r="C458" s="569"/>
      <c r="D458" s="570"/>
    </row>
    <row r="459" spans="2:4" hidden="1" outlineLevel="2" x14ac:dyDescent="0.3">
      <c r="B459" s="1132"/>
      <c r="C459" s="569"/>
      <c r="D459" s="570"/>
    </row>
    <row r="460" spans="2:4" hidden="1" outlineLevel="2" x14ac:dyDescent="0.3">
      <c r="B460" s="1132"/>
      <c r="C460" s="569"/>
      <c r="D460" s="570"/>
    </row>
    <row r="461" spans="2:4" hidden="1" outlineLevel="2" x14ac:dyDescent="0.3">
      <c r="B461" s="1132"/>
      <c r="C461" s="569"/>
      <c r="D461" s="570"/>
    </row>
    <row r="462" spans="2:4" hidden="1" outlineLevel="2" x14ac:dyDescent="0.3">
      <c r="B462" s="1132"/>
      <c r="C462" s="569"/>
      <c r="D462" s="570"/>
    </row>
    <row r="463" spans="2:4" hidden="1" outlineLevel="2" x14ac:dyDescent="0.3">
      <c r="B463" s="1132"/>
      <c r="C463" s="569"/>
      <c r="D463" s="570"/>
    </row>
    <row r="464" spans="2:4" hidden="1" outlineLevel="1" x14ac:dyDescent="0.3">
      <c r="B464" s="1132"/>
      <c r="C464" s="569"/>
      <c r="D464" s="570"/>
    </row>
    <row r="465" spans="2:4" hidden="1" outlineLevel="2" x14ac:dyDescent="0.3">
      <c r="B465" s="1132"/>
      <c r="C465" s="569"/>
      <c r="D465" s="570"/>
    </row>
    <row r="466" spans="2:4" hidden="1" outlineLevel="2" x14ac:dyDescent="0.3">
      <c r="B466" s="1132"/>
      <c r="C466" s="569"/>
      <c r="D466" s="570"/>
    </row>
    <row r="467" spans="2:4" hidden="1" outlineLevel="2" x14ac:dyDescent="0.3">
      <c r="B467" s="1132"/>
      <c r="C467" s="569"/>
      <c r="D467" s="570"/>
    </row>
    <row r="468" spans="2:4" hidden="1" outlineLevel="2" x14ac:dyDescent="0.3">
      <c r="B468" s="1132"/>
      <c r="C468" s="569"/>
      <c r="D468" s="570"/>
    </row>
    <row r="469" spans="2:4" hidden="1" outlineLevel="2" x14ac:dyDescent="0.3">
      <c r="B469" s="1132"/>
      <c r="C469" s="569"/>
      <c r="D469" s="570"/>
    </row>
    <row r="470" spans="2:4" hidden="1" outlineLevel="2" x14ac:dyDescent="0.3">
      <c r="B470" s="1132"/>
      <c r="C470" s="569"/>
      <c r="D470" s="570"/>
    </row>
    <row r="471" spans="2:4" hidden="1" outlineLevel="2" x14ac:dyDescent="0.3">
      <c r="B471" s="1132"/>
      <c r="C471" s="569"/>
      <c r="D471" s="570"/>
    </row>
    <row r="472" spans="2:4" hidden="1" outlineLevel="2" x14ac:dyDescent="0.3">
      <c r="B472" s="1132"/>
      <c r="C472" s="569"/>
      <c r="D472" s="570"/>
    </row>
    <row r="473" spans="2:4" hidden="1" outlineLevel="2" x14ac:dyDescent="0.3">
      <c r="B473" s="1132"/>
      <c r="C473" s="569"/>
      <c r="D473" s="570"/>
    </row>
    <row r="474" spans="2:4" hidden="1" outlineLevel="1" x14ac:dyDescent="0.3">
      <c r="B474" s="1132"/>
      <c r="C474" s="569"/>
      <c r="D474" s="570"/>
    </row>
    <row r="475" spans="2:4" hidden="1" outlineLevel="2" x14ac:dyDescent="0.3">
      <c r="B475" s="1132"/>
      <c r="C475" s="569"/>
      <c r="D475" s="570"/>
    </row>
    <row r="476" spans="2:4" hidden="1" outlineLevel="2" x14ac:dyDescent="0.3">
      <c r="B476" s="1132"/>
      <c r="C476" s="569"/>
      <c r="D476" s="570"/>
    </row>
    <row r="477" spans="2:4" hidden="1" outlineLevel="2" x14ac:dyDescent="0.3">
      <c r="B477" s="1132"/>
      <c r="C477" s="569"/>
      <c r="D477" s="570"/>
    </row>
    <row r="478" spans="2:4" hidden="1" outlineLevel="2" x14ac:dyDescent="0.3">
      <c r="B478" s="1132"/>
      <c r="C478" s="569"/>
      <c r="D478" s="570"/>
    </row>
    <row r="479" spans="2:4" hidden="1" outlineLevel="2" x14ac:dyDescent="0.3">
      <c r="B479" s="1132"/>
      <c r="C479" s="569"/>
      <c r="D479" s="570"/>
    </row>
    <row r="480" spans="2:4" hidden="1" outlineLevel="2" x14ac:dyDescent="0.3">
      <c r="B480" s="1132"/>
      <c r="C480" s="569"/>
      <c r="D480" s="570"/>
    </row>
    <row r="481" spans="2:4" hidden="1" outlineLevel="2" x14ac:dyDescent="0.3">
      <c r="B481" s="1132"/>
      <c r="C481" s="569"/>
      <c r="D481" s="570"/>
    </row>
    <row r="482" spans="2:4" hidden="1" outlineLevel="2" x14ac:dyDescent="0.3">
      <c r="B482" s="1132"/>
      <c r="C482" s="569"/>
      <c r="D482" s="570"/>
    </row>
    <row r="483" spans="2:4" hidden="1" outlineLevel="2" x14ac:dyDescent="0.3">
      <c r="B483" s="1132"/>
      <c r="C483" s="569"/>
      <c r="D483" s="570"/>
    </row>
    <row r="484" spans="2:4" hidden="1" outlineLevel="1" x14ac:dyDescent="0.3">
      <c r="B484" s="1132"/>
      <c r="C484" s="569"/>
      <c r="D484" s="570"/>
    </row>
    <row r="485" spans="2:4" hidden="1" outlineLevel="2" x14ac:dyDescent="0.3">
      <c r="B485" s="1132"/>
      <c r="C485" s="569"/>
      <c r="D485" s="570"/>
    </row>
    <row r="486" spans="2:4" hidden="1" outlineLevel="2" x14ac:dyDescent="0.3">
      <c r="B486" s="1132"/>
      <c r="C486" s="569"/>
      <c r="D486" s="570"/>
    </row>
    <row r="487" spans="2:4" hidden="1" outlineLevel="2" x14ac:dyDescent="0.3">
      <c r="B487" s="1132"/>
      <c r="C487" s="569"/>
      <c r="D487" s="570"/>
    </row>
    <row r="488" spans="2:4" hidden="1" outlineLevel="2" x14ac:dyDescent="0.3">
      <c r="B488" s="1132"/>
      <c r="C488" s="569"/>
      <c r="D488" s="570"/>
    </row>
    <row r="489" spans="2:4" hidden="1" outlineLevel="2" x14ac:dyDescent="0.3">
      <c r="B489" s="1132"/>
      <c r="C489" s="569"/>
      <c r="D489" s="570"/>
    </row>
    <row r="490" spans="2:4" hidden="1" outlineLevel="2" x14ac:dyDescent="0.3">
      <c r="B490" s="1132"/>
      <c r="C490" s="569"/>
      <c r="D490" s="570"/>
    </row>
    <row r="491" spans="2:4" hidden="1" outlineLevel="2" x14ac:dyDescent="0.3">
      <c r="B491" s="1132"/>
      <c r="C491" s="569"/>
      <c r="D491" s="570"/>
    </row>
    <row r="492" spans="2:4" hidden="1" outlineLevel="2" x14ac:dyDescent="0.3">
      <c r="B492" s="1132"/>
      <c r="C492" s="569"/>
      <c r="D492" s="570"/>
    </row>
    <row r="493" spans="2:4" hidden="1" outlineLevel="2" x14ac:dyDescent="0.3">
      <c r="B493" s="1132"/>
      <c r="C493" s="569"/>
      <c r="D493" s="570"/>
    </row>
    <row r="494" spans="2:4" hidden="1" outlineLevel="1" x14ac:dyDescent="0.3">
      <c r="B494" s="1132"/>
      <c r="C494" s="569"/>
      <c r="D494" s="570"/>
    </row>
    <row r="495" spans="2:4" hidden="1" outlineLevel="2" x14ac:dyDescent="0.3">
      <c r="B495" s="1132"/>
      <c r="C495" s="569"/>
      <c r="D495" s="570"/>
    </row>
    <row r="496" spans="2:4" hidden="1" outlineLevel="2" x14ac:dyDescent="0.3">
      <c r="B496" s="1132"/>
      <c r="C496" s="569"/>
      <c r="D496" s="570"/>
    </row>
    <row r="497" spans="2:4" hidden="1" outlineLevel="2" x14ac:dyDescent="0.3">
      <c r="B497" s="1132"/>
      <c r="C497" s="569"/>
      <c r="D497" s="570"/>
    </row>
    <row r="498" spans="2:4" hidden="1" outlineLevel="2" x14ac:dyDescent="0.3">
      <c r="B498" s="1132"/>
      <c r="C498" s="569"/>
      <c r="D498" s="570"/>
    </row>
    <row r="499" spans="2:4" hidden="1" outlineLevel="2" x14ac:dyDescent="0.3">
      <c r="B499" s="1132"/>
      <c r="C499" s="569"/>
      <c r="D499" s="570"/>
    </row>
    <row r="500" spans="2:4" hidden="1" outlineLevel="2" x14ac:dyDescent="0.3">
      <c r="B500" s="1132"/>
      <c r="C500" s="569"/>
      <c r="D500" s="570"/>
    </row>
    <row r="501" spans="2:4" hidden="1" outlineLevel="2" x14ac:dyDescent="0.3">
      <c r="B501" s="1132"/>
      <c r="C501" s="569"/>
      <c r="D501" s="570"/>
    </row>
    <row r="502" spans="2:4" hidden="1" outlineLevel="2" x14ac:dyDescent="0.3">
      <c r="B502" s="1132"/>
      <c r="C502" s="569"/>
      <c r="D502" s="570"/>
    </row>
    <row r="503" spans="2:4" hidden="1" outlineLevel="2" x14ac:dyDescent="0.3">
      <c r="B503" s="1132"/>
      <c r="C503" s="569"/>
      <c r="D503" s="570"/>
    </row>
    <row r="504" spans="2:4" hidden="1" outlineLevel="1" x14ac:dyDescent="0.3">
      <c r="B504" s="1132"/>
      <c r="C504" s="569"/>
      <c r="D504" s="570"/>
    </row>
    <row r="505" spans="2:4" hidden="1" outlineLevel="2" x14ac:dyDescent="0.3">
      <c r="B505" s="1132"/>
      <c r="C505" s="569"/>
      <c r="D505" s="570"/>
    </row>
    <row r="506" spans="2:4" hidden="1" outlineLevel="2" x14ac:dyDescent="0.3">
      <c r="B506" s="1132"/>
      <c r="C506" s="569"/>
      <c r="D506" s="570"/>
    </row>
    <row r="507" spans="2:4" hidden="1" outlineLevel="2" x14ac:dyDescent="0.3">
      <c r="B507" s="1132"/>
      <c r="C507" s="569"/>
      <c r="D507" s="570"/>
    </row>
    <row r="508" spans="2:4" hidden="1" outlineLevel="2" x14ac:dyDescent="0.3">
      <c r="B508" s="1132"/>
      <c r="C508" s="569"/>
      <c r="D508" s="570"/>
    </row>
    <row r="509" spans="2:4" hidden="1" outlineLevel="2" x14ac:dyDescent="0.3">
      <c r="B509" s="1132"/>
      <c r="C509" s="569"/>
      <c r="D509" s="570"/>
    </row>
    <row r="510" spans="2:4" hidden="1" outlineLevel="2" x14ac:dyDescent="0.3">
      <c r="B510" s="1132"/>
      <c r="C510" s="569"/>
      <c r="D510" s="570"/>
    </row>
    <row r="511" spans="2:4" hidden="1" outlineLevel="2" x14ac:dyDescent="0.3">
      <c r="B511" s="1132"/>
      <c r="C511" s="569"/>
      <c r="D511" s="570"/>
    </row>
    <row r="512" spans="2:4" hidden="1" outlineLevel="2" x14ac:dyDescent="0.3">
      <c r="B512" s="1132"/>
      <c r="C512" s="569"/>
      <c r="D512" s="570"/>
    </row>
    <row r="513" spans="2:4" hidden="1" outlineLevel="2" x14ac:dyDescent="0.3">
      <c r="B513" s="1132"/>
      <c r="C513" s="569"/>
      <c r="D513" s="570"/>
    </row>
    <row r="514" spans="2:4" hidden="1" outlineLevel="1" x14ac:dyDescent="0.3">
      <c r="B514" s="1132"/>
      <c r="C514" s="569"/>
      <c r="D514" s="570"/>
    </row>
    <row r="515" spans="2:4" hidden="1" outlineLevel="2" x14ac:dyDescent="0.3">
      <c r="B515" s="1132"/>
      <c r="C515" s="569"/>
      <c r="D515" s="570"/>
    </row>
    <row r="516" spans="2:4" hidden="1" outlineLevel="2" x14ac:dyDescent="0.3">
      <c r="B516" s="1132"/>
      <c r="C516" s="569"/>
      <c r="D516" s="570"/>
    </row>
    <row r="517" spans="2:4" hidden="1" outlineLevel="2" x14ac:dyDescent="0.3">
      <c r="B517" s="1132"/>
      <c r="C517" s="569"/>
      <c r="D517" s="570"/>
    </row>
    <row r="518" spans="2:4" hidden="1" outlineLevel="2" x14ac:dyDescent="0.3">
      <c r="B518" s="1132"/>
      <c r="C518" s="569"/>
      <c r="D518" s="570"/>
    </row>
    <row r="519" spans="2:4" hidden="1" outlineLevel="2" x14ac:dyDescent="0.3">
      <c r="B519" s="1132"/>
      <c r="C519" s="569"/>
      <c r="D519" s="570"/>
    </row>
    <row r="520" spans="2:4" hidden="1" outlineLevel="2" x14ac:dyDescent="0.3">
      <c r="B520" s="1132"/>
      <c r="C520" s="569"/>
      <c r="D520" s="570"/>
    </row>
    <row r="521" spans="2:4" hidden="1" outlineLevel="2" x14ac:dyDescent="0.3">
      <c r="B521" s="1132"/>
      <c r="C521" s="569"/>
      <c r="D521" s="570"/>
    </row>
    <row r="522" spans="2:4" hidden="1" outlineLevel="2" x14ac:dyDescent="0.3">
      <c r="B522" s="1132"/>
      <c r="C522" s="569"/>
      <c r="D522" s="570"/>
    </row>
    <row r="523" spans="2:4" hidden="1" outlineLevel="2" x14ac:dyDescent="0.3">
      <c r="B523" s="1132"/>
      <c r="C523" s="569"/>
      <c r="D523" s="570"/>
    </row>
    <row r="524" spans="2:4" hidden="1" outlineLevel="1" x14ac:dyDescent="0.3">
      <c r="B524" s="1132"/>
      <c r="C524" s="569"/>
      <c r="D524" s="570"/>
    </row>
    <row r="525" spans="2:4" hidden="1" outlineLevel="2" x14ac:dyDescent="0.3">
      <c r="B525" s="1132"/>
      <c r="C525" s="569"/>
      <c r="D525" s="570"/>
    </row>
    <row r="526" spans="2:4" hidden="1" outlineLevel="2" x14ac:dyDescent="0.3">
      <c r="B526" s="1132"/>
      <c r="C526" s="569"/>
      <c r="D526" s="570"/>
    </row>
    <row r="527" spans="2:4" hidden="1" outlineLevel="2" x14ac:dyDescent="0.3">
      <c r="B527" s="1132"/>
      <c r="C527" s="569"/>
      <c r="D527" s="570"/>
    </row>
    <row r="528" spans="2:4" hidden="1" outlineLevel="2" x14ac:dyDescent="0.3">
      <c r="B528" s="1132"/>
      <c r="C528" s="569"/>
      <c r="D528" s="570"/>
    </row>
    <row r="529" spans="2:4" hidden="1" outlineLevel="2" x14ac:dyDescent="0.3">
      <c r="B529" s="1132"/>
      <c r="C529" s="569"/>
      <c r="D529" s="570"/>
    </row>
    <row r="530" spans="2:4" hidden="1" outlineLevel="2" x14ac:dyDescent="0.3">
      <c r="B530" s="1132"/>
      <c r="C530" s="569"/>
      <c r="D530" s="570"/>
    </row>
    <row r="531" spans="2:4" hidden="1" outlineLevel="2" x14ac:dyDescent="0.3">
      <c r="B531" s="1132"/>
      <c r="C531" s="569"/>
      <c r="D531" s="570"/>
    </row>
    <row r="532" spans="2:4" hidden="1" outlineLevel="2" x14ac:dyDescent="0.3">
      <c r="B532" s="1132"/>
      <c r="C532" s="569"/>
      <c r="D532" s="570"/>
    </row>
    <row r="533" spans="2:4" hidden="1" outlineLevel="2" x14ac:dyDescent="0.3">
      <c r="B533" s="1132"/>
      <c r="C533" s="569"/>
      <c r="D533" s="570"/>
    </row>
    <row r="534" spans="2:4" hidden="1" outlineLevel="1" x14ac:dyDescent="0.3">
      <c r="B534" s="1132"/>
      <c r="C534" s="569"/>
      <c r="D534" s="570"/>
    </row>
    <row r="535" spans="2:4" hidden="1" outlineLevel="2" x14ac:dyDescent="0.3">
      <c r="B535" s="1132"/>
      <c r="C535" s="569"/>
      <c r="D535" s="570"/>
    </row>
    <row r="536" spans="2:4" hidden="1" outlineLevel="2" x14ac:dyDescent="0.3">
      <c r="B536" s="1132"/>
      <c r="C536" s="569"/>
      <c r="D536" s="570"/>
    </row>
    <row r="537" spans="2:4" hidden="1" outlineLevel="2" x14ac:dyDescent="0.3">
      <c r="B537" s="1132"/>
      <c r="C537" s="569"/>
      <c r="D537" s="570"/>
    </row>
    <row r="538" spans="2:4" hidden="1" outlineLevel="2" x14ac:dyDescent="0.3">
      <c r="B538" s="1132"/>
      <c r="C538" s="569"/>
      <c r="D538" s="570"/>
    </row>
    <row r="539" spans="2:4" hidden="1" outlineLevel="2" x14ac:dyDescent="0.3">
      <c r="B539" s="1132"/>
      <c r="C539" s="569"/>
      <c r="D539" s="570"/>
    </row>
    <row r="540" spans="2:4" hidden="1" outlineLevel="2" x14ac:dyDescent="0.3">
      <c r="B540" s="1132"/>
      <c r="C540" s="569"/>
      <c r="D540" s="570"/>
    </row>
    <row r="541" spans="2:4" hidden="1" outlineLevel="2" x14ac:dyDescent="0.3">
      <c r="B541" s="1132"/>
      <c r="C541" s="569"/>
      <c r="D541" s="570"/>
    </row>
    <row r="542" spans="2:4" hidden="1" outlineLevel="2" x14ac:dyDescent="0.3">
      <c r="B542" s="1132"/>
      <c r="C542" s="569"/>
      <c r="D542" s="570"/>
    </row>
    <row r="543" spans="2:4" hidden="1" outlineLevel="2" x14ac:dyDescent="0.3">
      <c r="B543" s="1132"/>
      <c r="C543" s="569"/>
      <c r="D543" s="570"/>
    </row>
    <row r="544" spans="2:4" hidden="1" outlineLevel="1" x14ac:dyDescent="0.3">
      <c r="B544" s="1132"/>
      <c r="C544" s="569"/>
      <c r="D544" s="570"/>
    </row>
    <row r="545" spans="2:4" hidden="1" outlineLevel="2" x14ac:dyDescent="0.3">
      <c r="B545" s="1132"/>
      <c r="C545" s="569"/>
      <c r="D545" s="570"/>
    </row>
    <row r="546" spans="2:4" hidden="1" outlineLevel="2" x14ac:dyDescent="0.3">
      <c r="B546" s="1132"/>
      <c r="C546" s="569"/>
      <c r="D546" s="570"/>
    </row>
    <row r="547" spans="2:4" hidden="1" outlineLevel="2" x14ac:dyDescent="0.3">
      <c r="B547" s="1132"/>
      <c r="C547" s="569"/>
      <c r="D547" s="570"/>
    </row>
    <row r="548" spans="2:4" hidden="1" outlineLevel="2" x14ac:dyDescent="0.3">
      <c r="B548" s="1132"/>
      <c r="C548" s="569"/>
      <c r="D548" s="570"/>
    </row>
    <row r="549" spans="2:4" hidden="1" outlineLevel="2" x14ac:dyDescent="0.3">
      <c r="B549" s="1132"/>
      <c r="C549" s="569"/>
      <c r="D549" s="570"/>
    </row>
    <row r="550" spans="2:4" hidden="1" outlineLevel="2" x14ac:dyDescent="0.3">
      <c r="B550" s="1132"/>
      <c r="C550" s="569"/>
      <c r="D550" s="570"/>
    </row>
    <row r="551" spans="2:4" hidden="1" outlineLevel="2" x14ac:dyDescent="0.3">
      <c r="B551" s="1132"/>
      <c r="C551" s="569"/>
      <c r="D551" s="570"/>
    </row>
    <row r="552" spans="2:4" hidden="1" outlineLevel="2" x14ac:dyDescent="0.3">
      <c r="B552" s="1132"/>
      <c r="C552" s="569"/>
      <c r="D552" s="570"/>
    </row>
    <row r="553" spans="2:4" hidden="1" outlineLevel="2" x14ac:dyDescent="0.3">
      <c r="B553" s="1132"/>
      <c r="C553" s="569"/>
      <c r="D553" s="570"/>
    </row>
    <row r="554" spans="2:4" hidden="1" outlineLevel="1" x14ac:dyDescent="0.3">
      <c r="B554" s="1132"/>
      <c r="C554" s="569"/>
      <c r="D554" s="570"/>
    </row>
    <row r="555" spans="2:4" hidden="1" outlineLevel="2" x14ac:dyDescent="0.3">
      <c r="B555" s="1132"/>
      <c r="C555" s="569"/>
      <c r="D555" s="570"/>
    </row>
    <row r="556" spans="2:4" hidden="1" outlineLevel="2" x14ac:dyDescent="0.3">
      <c r="B556" s="1132"/>
      <c r="C556" s="569"/>
      <c r="D556" s="570"/>
    </row>
    <row r="557" spans="2:4" hidden="1" outlineLevel="2" x14ac:dyDescent="0.3">
      <c r="B557" s="1132"/>
      <c r="C557" s="569"/>
      <c r="D557" s="570"/>
    </row>
    <row r="558" spans="2:4" hidden="1" outlineLevel="2" x14ac:dyDescent="0.3">
      <c r="B558" s="1132"/>
      <c r="C558" s="569"/>
      <c r="D558" s="570"/>
    </row>
    <row r="559" spans="2:4" hidden="1" outlineLevel="2" x14ac:dyDescent="0.3">
      <c r="B559" s="1132"/>
      <c r="C559" s="569"/>
      <c r="D559" s="570"/>
    </row>
    <row r="560" spans="2:4" hidden="1" outlineLevel="2" x14ac:dyDescent="0.3">
      <c r="B560" s="1132"/>
      <c r="C560" s="569"/>
      <c r="D560" s="570"/>
    </row>
    <row r="561" spans="2:4" hidden="1" outlineLevel="2" x14ac:dyDescent="0.3">
      <c r="B561" s="1132"/>
      <c r="C561" s="569"/>
      <c r="D561" s="570"/>
    </row>
    <row r="562" spans="2:4" hidden="1" outlineLevel="2" x14ac:dyDescent="0.3">
      <c r="B562" s="1132"/>
      <c r="C562" s="569"/>
      <c r="D562" s="570"/>
    </row>
    <row r="563" spans="2:4" hidden="1" outlineLevel="2" x14ac:dyDescent="0.3">
      <c r="B563" s="1132"/>
      <c r="C563" s="569"/>
      <c r="D563" s="570"/>
    </row>
    <row r="564" spans="2:4" hidden="1" outlineLevel="1" x14ac:dyDescent="0.3">
      <c r="B564" s="1132"/>
      <c r="C564" s="569"/>
      <c r="D564" s="570"/>
    </row>
    <row r="565" spans="2:4" hidden="1" outlineLevel="2" x14ac:dyDescent="0.3">
      <c r="B565" s="1132"/>
      <c r="C565" s="569"/>
      <c r="D565" s="570"/>
    </row>
    <row r="566" spans="2:4" hidden="1" outlineLevel="2" x14ac:dyDescent="0.3">
      <c r="B566" s="1132"/>
      <c r="C566" s="569"/>
      <c r="D566" s="570"/>
    </row>
    <row r="567" spans="2:4" hidden="1" outlineLevel="2" x14ac:dyDescent="0.3">
      <c r="B567" s="1132"/>
      <c r="C567" s="569"/>
      <c r="D567" s="570"/>
    </row>
    <row r="568" spans="2:4" hidden="1" outlineLevel="2" x14ac:dyDescent="0.3">
      <c r="B568" s="1132"/>
      <c r="C568" s="569"/>
      <c r="D568" s="570"/>
    </row>
    <row r="569" spans="2:4" hidden="1" outlineLevel="2" x14ac:dyDescent="0.3">
      <c r="B569" s="1132"/>
      <c r="C569" s="569"/>
      <c r="D569" s="570"/>
    </row>
    <row r="570" spans="2:4" hidden="1" outlineLevel="2" x14ac:dyDescent="0.3">
      <c r="B570" s="1132"/>
      <c r="C570" s="569"/>
      <c r="D570" s="570"/>
    </row>
    <row r="571" spans="2:4" hidden="1" outlineLevel="2" x14ac:dyDescent="0.3">
      <c r="B571" s="1132"/>
      <c r="C571" s="569"/>
      <c r="D571" s="570"/>
    </row>
    <row r="572" spans="2:4" hidden="1" outlineLevel="2" x14ac:dyDescent="0.3">
      <c r="B572" s="1132"/>
      <c r="C572" s="569"/>
      <c r="D572" s="570"/>
    </row>
    <row r="573" spans="2:4" hidden="1" outlineLevel="2" x14ac:dyDescent="0.3">
      <c r="B573" s="1132"/>
      <c r="C573" s="569"/>
      <c r="D573" s="570"/>
    </row>
    <row r="574" spans="2:4" hidden="1" outlineLevel="1" x14ac:dyDescent="0.3">
      <c r="B574" s="1132"/>
      <c r="C574" s="569"/>
      <c r="D574" s="570"/>
    </row>
    <row r="575" spans="2:4" hidden="1" outlineLevel="2" x14ac:dyDescent="0.3">
      <c r="B575" s="1132"/>
      <c r="C575" s="569"/>
      <c r="D575" s="570"/>
    </row>
    <row r="576" spans="2:4" hidden="1" outlineLevel="2" x14ac:dyDescent="0.3">
      <c r="B576" s="1132"/>
      <c r="C576" s="569"/>
      <c r="D576" s="570"/>
    </row>
    <row r="577" spans="2:4" hidden="1" outlineLevel="2" x14ac:dyDescent="0.3">
      <c r="B577" s="1132"/>
      <c r="C577" s="569"/>
      <c r="D577" s="570"/>
    </row>
    <row r="578" spans="2:4" hidden="1" outlineLevel="2" x14ac:dyDescent="0.3">
      <c r="B578" s="1132"/>
      <c r="C578" s="569"/>
      <c r="D578" s="570"/>
    </row>
    <row r="579" spans="2:4" hidden="1" outlineLevel="2" x14ac:dyDescent="0.3">
      <c r="B579" s="1132"/>
      <c r="C579" s="569"/>
      <c r="D579" s="570"/>
    </row>
    <row r="580" spans="2:4" hidden="1" outlineLevel="2" x14ac:dyDescent="0.3">
      <c r="B580" s="1132"/>
      <c r="C580" s="569"/>
      <c r="D580" s="570"/>
    </row>
    <row r="581" spans="2:4" hidden="1" outlineLevel="2" x14ac:dyDescent="0.3">
      <c r="B581" s="1132"/>
      <c r="C581" s="569"/>
      <c r="D581" s="570"/>
    </row>
    <row r="582" spans="2:4" hidden="1" outlineLevel="2" x14ac:dyDescent="0.3">
      <c r="B582" s="1132"/>
      <c r="C582" s="569"/>
      <c r="D582" s="570"/>
    </row>
    <row r="583" spans="2:4" hidden="1" outlineLevel="2" x14ac:dyDescent="0.3">
      <c r="B583" s="1132"/>
      <c r="C583" s="569"/>
      <c r="D583" s="570"/>
    </row>
    <row r="584" spans="2:4" hidden="1" outlineLevel="1" x14ac:dyDescent="0.3">
      <c r="B584" s="1132"/>
      <c r="C584" s="569"/>
      <c r="D584" s="570"/>
    </row>
    <row r="585" spans="2:4" hidden="1" outlineLevel="2" x14ac:dyDescent="0.3">
      <c r="B585" s="1132"/>
      <c r="C585" s="569"/>
      <c r="D585" s="570"/>
    </row>
    <row r="586" spans="2:4" hidden="1" outlineLevel="2" x14ac:dyDescent="0.3">
      <c r="B586" s="1132"/>
      <c r="C586" s="569"/>
      <c r="D586" s="570"/>
    </row>
    <row r="587" spans="2:4" hidden="1" outlineLevel="2" x14ac:dyDescent="0.3">
      <c r="B587" s="1132"/>
      <c r="C587" s="569"/>
      <c r="D587" s="570"/>
    </row>
    <row r="588" spans="2:4" hidden="1" outlineLevel="2" x14ac:dyDescent="0.3">
      <c r="B588" s="1132"/>
      <c r="C588" s="569"/>
      <c r="D588" s="570"/>
    </row>
    <row r="589" spans="2:4" hidden="1" outlineLevel="2" x14ac:dyDescent="0.3">
      <c r="B589" s="1132"/>
      <c r="C589" s="569"/>
      <c r="D589" s="570"/>
    </row>
    <row r="590" spans="2:4" hidden="1" outlineLevel="2" x14ac:dyDescent="0.3">
      <c r="B590" s="1132"/>
      <c r="C590" s="569"/>
      <c r="D590" s="570"/>
    </row>
    <row r="591" spans="2:4" hidden="1" outlineLevel="2" x14ac:dyDescent="0.3">
      <c r="B591" s="1132"/>
      <c r="C591" s="569"/>
      <c r="D591" s="570"/>
    </row>
    <row r="592" spans="2:4" hidden="1" outlineLevel="2" x14ac:dyDescent="0.3">
      <c r="B592" s="1132"/>
      <c r="C592" s="569"/>
      <c r="D592" s="570"/>
    </row>
    <row r="593" spans="2:4" hidden="1" outlineLevel="2" x14ac:dyDescent="0.3">
      <c r="B593" s="1132"/>
      <c r="C593" s="569"/>
      <c r="D593" s="570"/>
    </row>
    <row r="594" spans="2:4" hidden="1" outlineLevel="1" x14ac:dyDescent="0.3">
      <c r="B594" s="1132"/>
      <c r="C594" s="569"/>
      <c r="D594" s="570"/>
    </row>
    <row r="595" spans="2:4" hidden="1" outlineLevel="2" x14ac:dyDescent="0.3">
      <c r="B595" s="1132"/>
      <c r="C595" s="569"/>
      <c r="D595" s="570"/>
    </row>
    <row r="596" spans="2:4" hidden="1" outlineLevel="2" x14ac:dyDescent="0.3">
      <c r="B596" s="1132"/>
      <c r="C596" s="569"/>
      <c r="D596" s="570"/>
    </row>
    <row r="597" spans="2:4" hidden="1" outlineLevel="2" x14ac:dyDescent="0.3">
      <c r="B597" s="1132"/>
      <c r="C597" s="569"/>
      <c r="D597" s="570"/>
    </row>
    <row r="598" spans="2:4" hidden="1" outlineLevel="2" x14ac:dyDescent="0.3">
      <c r="B598" s="1132"/>
      <c r="C598" s="569"/>
      <c r="D598" s="570"/>
    </row>
    <row r="599" spans="2:4" hidden="1" outlineLevel="2" x14ac:dyDescent="0.3">
      <c r="B599" s="1132"/>
      <c r="C599" s="569"/>
      <c r="D599" s="570"/>
    </row>
    <row r="600" spans="2:4" hidden="1" outlineLevel="2" x14ac:dyDescent="0.3">
      <c r="B600" s="1132"/>
      <c r="C600" s="569"/>
      <c r="D600" s="570"/>
    </row>
    <row r="601" spans="2:4" hidden="1" outlineLevel="2" x14ac:dyDescent="0.3">
      <c r="B601" s="1132"/>
      <c r="C601" s="569"/>
      <c r="D601" s="570"/>
    </row>
    <row r="602" spans="2:4" hidden="1" outlineLevel="2" x14ac:dyDescent="0.3">
      <c r="B602" s="1132"/>
      <c r="C602" s="569"/>
      <c r="D602" s="570"/>
    </row>
    <row r="603" spans="2:4" hidden="1" outlineLevel="2" x14ac:dyDescent="0.3">
      <c r="B603" s="1132"/>
      <c r="C603" s="569"/>
      <c r="D603" s="570"/>
    </row>
    <row r="604" spans="2:4" hidden="1" outlineLevel="1" x14ac:dyDescent="0.3">
      <c r="B604" s="1132"/>
      <c r="C604" s="569"/>
      <c r="D604" s="570"/>
    </row>
    <row r="605" spans="2:4" hidden="1" outlineLevel="2" x14ac:dyDescent="0.3">
      <c r="B605" s="1132"/>
      <c r="C605" s="569"/>
      <c r="D605" s="570"/>
    </row>
    <row r="606" spans="2:4" hidden="1" outlineLevel="2" x14ac:dyDescent="0.3">
      <c r="B606" s="1132"/>
      <c r="C606" s="569"/>
      <c r="D606" s="570"/>
    </row>
    <row r="607" spans="2:4" hidden="1" outlineLevel="2" x14ac:dyDescent="0.3">
      <c r="B607" s="1132"/>
      <c r="C607" s="569"/>
      <c r="D607" s="570"/>
    </row>
    <row r="608" spans="2:4" hidden="1" outlineLevel="2" x14ac:dyDescent="0.3">
      <c r="B608" s="1132"/>
      <c r="C608" s="569"/>
      <c r="D608" s="570"/>
    </row>
    <row r="609" spans="2:4" hidden="1" outlineLevel="2" x14ac:dyDescent="0.3">
      <c r="B609" s="1132"/>
      <c r="C609" s="569"/>
      <c r="D609" s="570"/>
    </row>
    <row r="610" spans="2:4" hidden="1" outlineLevel="2" x14ac:dyDescent="0.3">
      <c r="B610" s="1132"/>
      <c r="C610" s="569"/>
      <c r="D610" s="570"/>
    </row>
    <row r="611" spans="2:4" hidden="1" outlineLevel="2" x14ac:dyDescent="0.3">
      <c r="B611" s="1132"/>
      <c r="C611" s="569"/>
      <c r="D611" s="570"/>
    </row>
    <row r="612" spans="2:4" hidden="1" outlineLevel="2" x14ac:dyDescent="0.3">
      <c r="B612" s="1132"/>
      <c r="C612" s="569"/>
      <c r="D612" s="570"/>
    </row>
    <row r="613" spans="2:4" hidden="1" outlineLevel="2" x14ac:dyDescent="0.3">
      <c r="B613" s="1132"/>
      <c r="C613" s="569"/>
      <c r="D613" s="570"/>
    </row>
    <row r="614" spans="2:4" hidden="1" outlineLevel="1" x14ac:dyDescent="0.3">
      <c r="B614" s="1132"/>
      <c r="C614" s="569"/>
      <c r="D614" s="570"/>
    </row>
    <row r="615" spans="2:4" hidden="1" outlineLevel="2" x14ac:dyDescent="0.3">
      <c r="B615" s="1132"/>
      <c r="C615" s="569"/>
      <c r="D615" s="570"/>
    </row>
    <row r="616" spans="2:4" hidden="1" outlineLevel="2" x14ac:dyDescent="0.3">
      <c r="B616" s="1132"/>
      <c r="C616" s="569"/>
      <c r="D616" s="570"/>
    </row>
    <row r="617" spans="2:4" hidden="1" outlineLevel="2" x14ac:dyDescent="0.3">
      <c r="B617" s="1132"/>
      <c r="C617" s="569"/>
      <c r="D617" s="570"/>
    </row>
    <row r="618" spans="2:4" hidden="1" outlineLevel="2" x14ac:dyDescent="0.3">
      <c r="B618" s="1132"/>
      <c r="C618" s="569"/>
      <c r="D618" s="570"/>
    </row>
    <row r="619" spans="2:4" hidden="1" outlineLevel="2" x14ac:dyDescent="0.3">
      <c r="B619" s="1132"/>
      <c r="C619" s="569"/>
      <c r="D619" s="570"/>
    </row>
    <row r="620" spans="2:4" hidden="1" outlineLevel="2" x14ac:dyDescent="0.3">
      <c r="B620" s="1132"/>
      <c r="C620" s="569"/>
      <c r="D620" s="570"/>
    </row>
    <row r="621" spans="2:4" hidden="1" outlineLevel="2" x14ac:dyDescent="0.3">
      <c r="B621" s="1132"/>
      <c r="C621" s="569"/>
      <c r="D621" s="570"/>
    </row>
    <row r="622" spans="2:4" hidden="1" outlineLevel="2" x14ac:dyDescent="0.3">
      <c r="B622" s="1132"/>
      <c r="C622" s="569"/>
      <c r="D622" s="570"/>
    </row>
    <row r="623" spans="2:4" hidden="1" outlineLevel="2" x14ac:dyDescent="0.3">
      <c r="B623" s="1132"/>
      <c r="C623" s="569"/>
      <c r="D623" s="570"/>
    </row>
    <row r="624" spans="2:4" hidden="1" outlineLevel="1" x14ac:dyDescent="0.3">
      <c r="B624" s="1132"/>
      <c r="C624" s="569"/>
      <c r="D624" s="570"/>
    </row>
    <row r="625" spans="2:4" hidden="1" outlineLevel="2" x14ac:dyDescent="0.3">
      <c r="B625" s="1132"/>
      <c r="C625" s="569"/>
      <c r="D625" s="570"/>
    </row>
    <row r="626" spans="2:4" hidden="1" outlineLevel="2" x14ac:dyDescent="0.3">
      <c r="B626" s="1132"/>
      <c r="C626" s="569"/>
      <c r="D626" s="570"/>
    </row>
    <row r="627" spans="2:4" hidden="1" outlineLevel="2" x14ac:dyDescent="0.3">
      <c r="B627" s="1132"/>
      <c r="C627" s="569"/>
      <c r="D627" s="570"/>
    </row>
    <row r="628" spans="2:4" hidden="1" outlineLevel="2" x14ac:dyDescent="0.3">
      <c r="B628" s="1132"/>
      <c r="C628" s="569"/>
      <c r="D628" s="570"/>
    </row>
    <row r="629" spans="2:4" hidden="1" outlineLevel="2" x14ac:dyDescent="0.3">
      <c r="B629" s="1132"/>
      <c r="C629" s="569"/>
      <c r="D629" s="570"/>
    </row>
    <row r="630" spans="2:4" hidden="1" outlineLevel="2" x14ac:dyDescent="0.3">
      <c r="B630" s="1132"/>
      <c r="C630" s="569"/>
      <c r="D630" s="570"/>
    </row>
    <row r="631" spans="2:4" hidden="1" outlineLevel="2" x14ac:dyDescent="0.3">
      <c r="B631" s="1132"/>
      <c r="C631" s="569"/>
      <c r="D631" s="570"/>
    </row>
    <row r="632" spans="2:4" hidden="1" outlineLevel="2" x14ac:dyDescent="0.3">
      <c r="B632" s="1132"/>
      <c r="C632" s="569"/>
      <c r="D632" s="570"/>
    </row>
    <row r="633" spans="2:4" hidden="1" outlineLevel="2" x14ac:dyDescent="0.3">
      <c r="B633" s="1132"/>
      <c r="C633" s="569"/>
      <c r="D633" s="570"/>
    </row>
    <row r="634" spans="2:4" hidden="1" outlineLevel="1" x14ac:dyDescent="0.3">
      <c r="B634" s="1132"/>
      <c r="C634" s="569"/>
      <c r="D634" s="570"/>
    </row>
    <row r="635" spans="2:4" hidden="1" outlineLevel="2" x14ac:dyDescent="0.3">
      <c r="B635" s="1132"/>
      <c r="C635" s="569"/>
      <c r="D635" s="570"/>
    </row>
    <row r="636" spans="2:4" hidden="1" outlineLevel="2" x14ac:dyDescent="0.3">
      <c r="B636" s="1132"/>
      <c r="C636" s="569"/>
      <c r="D636" s="570"/>
    </row>
    <row r="637" spans="2:4" hidden="1" outlineLevel="2" x14ac:dyDescent="0.3">
      <c r="B637" s="1132"/>
      <c r="C637" s="569"/>
      <c r="D637" s="570"/>
    </row>
    <row r="638" spans="2:4" hidden="1" outlineLevel="2" x14ac:dyDescent="0.3">
      <c r="B638" s="1132"/>
      <c r="C638" s="569"/>
      <c r="D638" s="570"/>
    </row>
    <row r="639" spans="2:4" hidden="1" outlineLevel="2" x14ac:dyDescent="0.3">
      <c r="B639" s="1132"/>
      <c r="C639" s="569"/>
      <c r="D639" s="570"/>
    </row>
    <row r="640" spans="2:4" hidden="1" outlineLevel="2" x14ac:dyDescent="0.3">
      <c r="B640" s="1132"/>
      <c r="C640" s="569"/>
      <c r="D640" s="570"/>
    </row>
    <row r="641" spans="2:4" hidden="1" outlineLevel="2" x14ac:dyDescent="0.3">
      <c r="B641" s="1132"/>
      <c r="C641" s="569"/>
      <c r="D641" s="570"/>
    </row>
    <row r="642" spans="2:4" hidden="1" outlineLevel="2" x14ac:dyDescent="0.3">
      <c r="B642" s="1132"/>
      <c r="C642" s="569"/>
      <c r="D642" s="570"/>
    </row>
    <row r="643" spans="2:4" hidden="1" outlineLevel="2" x14ac:dyDescent="0.3">
      <c r="B643" s="1132"/>
      <c r="C643" s="569"/>
      <c r="D643" s="570"/>
    </row>
    <row r="644" spans="2:4" hidden="1" outlineLevel="1" x14ac:dyDescent="0.3">
      <c r="B644" s="1132"/>
      <c r="C644" s="569"/>
      <c r="D644" s="570"/>
    </row>
    <row r="645" spans="2:4" hidden="1" outlineLevel="2" x14ac:dyDescent="0.3">
      <c r="B645" s="1132"/>
      <c r="C645" s="569"/>
      <c r="D645" s="570"/>
    </row>
    <row r="646" spans="2:4" hidden="1" outlineLevel="2" x14ac:dyDescent="0.3">
      <c r="B646" s="1132"/>
      <c r="C646" s="569"/>
      <c r="D646" s="570"/>
    </row>
    <row r="647" spans="2:4" hidden="1" outlineLevel="2" x14ac:dyDescent="0.3">
      <c r="B647" s="1132"/>
      <c r="C647" s="569"/>
      <c r="D647" s="570"/>
    </row>
    <row r="648" spans="2:4" hidden="1" outlineLevel="2" x14ac:dyDescent="0.3">
      <c r="B648" s="1132"/>
      <c r="C648" s="569"/>
      <c r="D648" s="570"/>
    </row>
    <row r="649" spans="2:4" hidden="1" outlineLevel="2" x14ac:dyDescent="0.3">
      <c r="B649" s="1132"/>
      <c r="C649" s="569"/>
      <c r="D649" s="570"/>
    </row>
    <row r="650" spans="2:4" hidden="1" outlineLevel="2" x14ac:dyDescent="0.3">
      <c r="B650" s="1132"/>
      <c r="C650" s="569"/>
      <c r="D650" s="570"/>
    </row>
    <row r="651" spans="2:4" hidden="1" outlineLevel="2" x14ac:dyDescent="0.3">
      <c r="B651" s="1132"/>
      <c r="C651" s="569"/>
      <c r="D651" s="570"/>
    </row>
    <row r="652" spans="2:4" hidden="1" outlineLevel="2" x14ac:dyDescent="0.3">
      <c r="B652" s="1132"/>
      <c r="C652" s="569"/>
      <c r="D652" s="570"/>
    </row>
    <row r="653" spans="2:4" hidden="1" outlineLevel="2" x14ac:dyDescent="0.3">
      <c r="B653" s="1132"/>
      <c r="C653" s="569"/>
      <c r="D653" s="570"/>
    </row>
    <row r="654" spans="2:4" hidden="1" outlineLevel="1" x14ac:dyDescent="0.3">
      <c r="B654" s="1132"/>
      <c r="C654" s="569"/>
      <c r="D654" s="570"/>
    </row>
    <row r="655" spans="2:4" hidden="1" outlineLevel="2" x14ac:dyDescent="0.3">
      <c r="B655" s="1132"/>
      <c r="C655" s="569"/>
      <c r="D655" s="570"/>
    </row>
    <row r="656" spans="2:4" hidden="1" outlineLevel="2" x14ac:dyDescent="0.3">
      <c r="B656" s="1132"/>
      <c r="C656" s="569"/>
      <c r="D656" s="570"/>
    </row>
    <row r="657" spans="2:4" hidden="1" outlineLevel="2" x14ac:dyDescent="0.3">
      <c r="B657" s="1132"/>
      <c r="C657" s="569"/>
      <c r="D657" s="570"/>
    </row>
    <row r="658" spans="2:4" hidden="1" outlineLevel="2" x14ac:dyDescent="0.3">
      <c r="B658" s="1132"/>
      <c r="C658" s="569"/>
      <c r="D658" s="570"/>
    </row>
    <row r="659" spans="2:4" hidden="1" outlineLevel="2" x14ac:dyDescent="0.3">
      <c r="B659" s="1132"/>
      <c r="C659" s="569"/>
      <c r="D659" s="570"/>
    </row>
    <row r="660" spans="2:4" hidden="1" outlineLevel="2" x14ac:dyDescent="0.3">
      <c r="B660" s="1132"/>
      <c r="C660" s="569"/>
      <c r="D660" s="570"/>
    </row>
    <row r="661" spans="2:4" hidden="1" outlineLevel="2" x14ac:dyDescent="0.3">
      <c r="B661" s="1132"/>
      <c r="C661" s="569"/>
      <c r="D661" s="570"/>
    </row>
    <row r="662" spans="2:4" hidden="1" outlineLevel="2" x14ac:dyDescent="0.3">
      <c r="B662" s="1132"/>
      <c r="C662" s="569"/>
      <c r="D662" s="570"/>
    </row>
    <row r="663" spans="2:4" hidden="1" outlineLevel="2" x14ac:dyDescent="0.3">
      <c r="B663" s="1132"/>
      <c r="C663" s="569"/>
      <c r="D663" s="570"/>
    </row>
    <row r="664" spans="2:4" hidden="1" outlineLevel="1" x14ac:dyDescent="0.3">
      <c r="B664" s="1132"/>
      <c r="C664" s="569"/>
      <c r="D664" s="570"/>
    </row>
    <row r="665" spans="2:4" hidden="1" outlineLevel="2" x14ac:dyDescent="0.3">
      <c r="B665" s="1132"/>
      <c r="C665" s="569"/>
      <c r="D665" s="570"/>
    </row>
    <row r="666" spans="2:4" hidden="1" outlineLevel="2" x14ac:dyDescent="0.3">
      <c r="B666" s="1132"/>
      <c r="C666" s="569"/>
      <c r="D666" s="570"/>
    </row>
    <row r="667" spans="2:4" hidden="1" outlineLevel="2" x14ac:dyDescent="0.3">
      <c r="B667" s="1132"/>
      <c r="C667" s="569"/>
      <c r="D667" s="570"/>
    </row>
    <row r="668" spans="2:4" hidden="1" outlineLevel="2" x14ac:dyDescent="0.3">
      <c r="B668" s="1132"/>
      <c r="C668" s="569"/>
      <c r="D668" s="570"/>
    </row>
    <row r="669" spans="2:4" hidden="1" outlineLevel="2" x14ac:dyDescent="0.3">
      <c r="B669" s="1132"/>
      <c r="C669" s="569"/>
      <c r="D669" s="570"/>
    </row>
    <row r="670" spans="2:4" hidden="1" outlineLevel="2" x14ac:dyDescent="0.3">
      <c r="B670" s="1132"/>
      <c r="C670" s="569"/>
      <c r="D670" s="570"/>
    </row>
    <row r="671" spans="2:4" hidden="1" outlineLevel="2" x14ac:dyDescent="0.3">
      <c r="B671" s="1132"/>
      <c r="C671" s="569"/>
      <c r="D671" s="570"/>
    </row>
    <row r="672" spans="2:4" hidden="1" outlineLevel="2" x14ac:dyDescent="0.3">
      <c r="B672" s="1132"/>
      <c r="C672" s="569"/>
      <c r="D672" s="570"/>
    </row>
    <row r="673" spans="2:4" hidden="1" outlineLevel="2" x14ac:dyDescent="0.3">
      <c r="B673" s="1132"/>
      <c r="C673" s="569"/>
      <c r="D673" s="570"/>
    </row>
    <row r="674" spans="2:4" hidden="1" outlineLevel="1" x14ac:dyDescent="0.3">
      <c r="B674" s="1132"/>
      <c r="C674" s="569"/>
      <c r="D674" s="570"/>
    </row>
    <row r="675" spans="2:4" hidden="1" outlineLevel="2" x14ac:dyDescent="0.3">
      <c r="B675" s="1132"/>
      <c r="C675" s="569"/>
      <c r="D675" s="570"/>
    </row>
    <row r="676" spans="2:4" hidden="1" outlineLevel="2" x14ac:dyDescent="0.3">
      <c r="B676" s="1132"/>
      <c r="C676" s="569"/>
      <c r="D676" s="570"/>
    </row>
    <row r="677" spans="2:4" hidden="1" outlineLevel="2" x14ac:dyDescent="0.3">
      <c r="B677" s="1132"/>
      <c r="C677" s="569"/>
      <c r="D677" s="570"/>
    </row>
    <row r="678" spans="2:4" hidden="1" outlineLevel="2" x14ac:dyDescent="0.3">
      <c r="B678" s="1132"/>
      <c r="C678" s="569"/>
      <c r="D678" s="570"/>
    </row>
    <row r="679" spans="2:4" hidden="1" outlineLevel="2" x14ac:dyDescent="0.3">
      <c r="B679" s="1132"/>
      <c r="C679" s="569"/>
      <c r="D679" s="570"/>
    </row>
    <row r="680" spans="2:4" hidden="1" outlineLevel="2" x14ac:dyDescent="0.3">
      <c r="B680" s="1132"/>
      <c r="C680" s="569"/>
      <c r="D680" s="570"/>
    </row>
    <row r="681" spans="2:4" hidden="1" outlineLevel="2" x14ac:dyDescent="0.3">
      <c r="B681" s="1132"/>
      <c r="C681" s="569"/>
      <c r="D681" s="570"/>
    </row>
    <row r="682" spans="2:4" hidden="1" outlineLevel="2" x14ac:dyDescent="0.3">
      <c r="B682" s="1132"/>
      <c r="C682" s="569"/>
      <c r="D682" s="570"/>
    </row>
    <row r="683" spans="2:4" hidden="1" outlineLevel="2" x14ac:dyDescent="0.3">
      <c r="B683" s="1132"/>
      <c r="C683" s="569"/>
      <c r="D683" s="570"/>
    </row>
    <row r="684" spans="2:4" hidden="1" outlineLevel="1" x14ac:dyDescent="0.3">
      <c r="B684" s="1132"/>
      <c r="C684" s="569"/>
      <c r="D684" s="570"/>
    </row>
    <row r="685" spans="2:4" hidden="1" outlineLevel="2" x14ac:dyDescent="0.3">
      <c r="B685" s="1132"/>
      <c r="C685" s="569"/>
      <c r="D685" s="570"/>
    </row>
    <row r="686" spans="2:4" hidden="1" outlineLevel="2" x14ac:dyDescent="0.3">
      <c r="B686" s="1132"/>
      <c r="C686" s="569"/>
      <c r="D686" s="570"/>
    </row>
    <row r="687" spans="2:4" hidden="1" outlineLevel="2" x14ac:dyDescent="0.3">
      <c r="B687" s="1132"/>
      <c r="C687" s="569"/>
      <c r="D687" s="570"/>
    </row>
    <row r="688" spans="2:4" hidden="1" outlineLevel="2" x14ac:dyDescent="0.3">
      <c r="B688" s="1132"/>
      <c r="C688" s="569"/>
      <c r="D688" s="570"/>
    </row>
    <row r="689" spans="2:4" hidden="1" outlineLevel="2" x14ac:dyDescent="0.3">
      <c r="B689" s="1132"/>
      <c r="C689" s="569"/>
      <c r="D689" s="570"/>
    </row>
    <row r="690" spans="2:4" hidden="1" outlineLevel="2" x14ac:dyDescent="0.3">
      <c r="B690" s="1132"/>
      <c r="C690" s="569"/>
      <c r="D690" s="570"/>
    </row>
    <row r="691" spans="2:4" hidden="1" outlineLevel="2" x14ac:dyDescent="0.3">
      <c r="B691" s="1132"/>
      <c r="C691" s="569"/>
      <c r="D691" s="570"/>
    </row>
    <row r="692" spans="2:4" hidden="1" outlineLevel="2" x14ac:dyDescent="0.3">
      <c r="B692" s="1132"/>
      <c r="C692" s="569"/>
      <c r="D692" s="570"/>
    </row>
    <row r="693" spans="2:4" hidden="1" outlineLevel="2" x14ac:dyDescent="0.3">
      <c r="B693" s="1132"/>
      <c r="C693" s="569"/>
      <c r="D693" s="570"/>
    </row>
    <row r="694" spans="2:4" hidden="1" outlineLevel="1" x14ac:dyDescent="0.3">
      <c r="B694" s="1132"/>
      <c r="C694" s="569"/>
      <c r="D694" s="570"/>
    </row>
    <row r="695" spans="2:4" hidden="1" outlineLevel="2" x14ac:dyDescent="0.3">
      <c r="B695" s="1132"/>
      <c r="C695" s="569"/>
      <c r="D695" s="570"/>
    </row>
    <row r="696" spans="2:4" hidden="1" outlineLevel="2" x14ac:dyDescent="0.3">
      <c r="B696" s="1132"/>
      <c r="C696" s="569"/>
      <c r="D696" s="570"/>
    </row>
    <row r="697" spans="2:4" hidden="1" outlineLevel="2" x14ac:dyDescent="0.3">
      <c r="B697" s="1132"/>
      <c r="C697" s="569"/>
      <c r="D697" s="570"/>
    </row>
    <row r="698" spans="2:4" hidden="1" outlineLevel="2" x14ac:dyDescent="0.3">
      <c r="B698" s="1132"/>
      <c r="C698" s="569"/>
      <c r="D698" s="570"/>
    </row>
    <row r="699" spans="2:4" hidden="1" outlineLevel="2" x14ac:dyDescent="0.3">
      <c r="B699" s="1132"/>
      <c r="C699" s="569"/>
      <c r="D699" s="570"/>
    </row>
    <row r="700" spans="2:4" hidden="1" outlineLevel="2" x14ac:dyDescent="0.3">
      <c r="B700" s="1132"/>
      <c r="C700" s="569"/>
      <c r="D700" s="570"/>
    </row>
    <row r="701" spans="2:4" hidden="1" outlineLevel="2" x14ac:dyDescent="0.3">
      <c r="B701" s="1132"/>
      <c r="C701" s="569"/>
      <c r="D701" s="570"/>
    </row>
    <row r="702" spans="2:4" hidden="1" outlineLevel="2" x14ac:dyDescent="0.3">
      <c r="B702" s="1132"/>
      <c r="C702" s="569"/>
      <c r="D702" s="570"/>
    </row>
    <row r="703" spans="2:4" hidden="1" outlineLevel="2" x14ac:dyDescent="0.3">
      <c r="B703" s="1132"/>
      <c r="C703" s="569"/>
      <c r="D703" s="570"/>
    </row>
    <row r="704" spans="2:4" hidden="1" outlineLevel="1" x14ac:dyDescent="0.3">
      <c r="B704" s="1132"/>
      <c r="C704" s="569"/>
      <c r="D704" s="570"/>
    </row>
    <row r="705" spans="2:4" hidden="1" outlineLevel="2" x14ac:dyDescent="0.3">
      <c r="B705" s="1132"/>
      <c r="C705" s="569"/>
      <c r="D705" s="570"/>
    </row>
    <row r="706" spans="2:4" hidden="1" outlineLevel="2" x14ac:dyDescent="0.3">
      <c r="B706" s="1132"/>
      <c r="C706" s="569"/>
      <c r="D706" s="570"/>
    </row>
    <row r="707" spans="2:4" hidden="1" outlineLevel="2" x14ac:dyDescent="0.3">
      <c r="B707" s="1132"/>
      <c r="C707" s="569"/>
      <c r="D707" s="570"/>
    </row>
    <row r="708" spans="2:4" hidden="1" outlineLevel="2" x14ac:dyDescent="0.3">
      <c r="B708" s="1132"/>
      <c r="C708" s="569"/>
      <c r="D708" s="570"/>
    </row>
    <row r="709" spans="2:4" hidden="1" outlineLevel="2" x14ac:dyDescent="0.3">
      <c r="B709" s="1132"/>
      <c r="C709" s="569"/>
      <c r="D709" s="570"/>
    </row>
    <row r="710" spans="2:4" hidden="1" outlineLevel="2" x14ac:dyDescent="0.3">
      <c r="B710" s="1132"/>
      <c r="C710" s="569"/>
      <c r="D710" s="570"/>
    </row>
    <row r="711" spans="2:4" hidden="1" outlineLevel="2" x14ac:dyDescent="0.3">
      <c r="B711" s="1132"/>
      <c r="C711" s="569"/>
      <c r="D711" s="570"/>
    </row>
    <row r="712" spans="2:4" hidden="1" outlineLevel="2" x14ac:dyDescent="0.3">
      <c r="B712" s="1132"/>
      <c r="C712" s="569"/>
      <c r="D712" s="570"/>
    </row>
    <row r="713" spans="2:4" hidden="1" outlineLevel="2" x14ac:dyDescent="0.3">
      <c r="B713" s="1132"/>
      <c r="C713" s="569"/>
      <c r="D713" s="570"/>
    </row>
    <row r="714" spans="2:4" hidden="1" outlineLevel="1" x14ac:dyDescent="0.3">
      <c r="B714" s="1132"/>
      <c r="C714" s="569"/>
      <c r="D714" s="570"/>
    </row>
    <row r="715" spans="2:4" hidden="1" outlineLevel="2" x14ac:dyDescent="0.3">
      <c r="B715" s="1132"/>
      <c r="C715" s="569"/>
      <c r="D715" s="570"/>
    </row>
    <row r="716" spans="2:4" hidden="1" outlineLevel="2" x14ac:dyDescent="0.3">
      <c r="B716" s="1132"/>
      <c r="C716" s="569"/>
      <c r="D716" s="570"/>
    </row>
    <row r="717" spans="2:4" hidden="1" outlineLevel="2" x14ac:dyDescent="0.3">
      <c r="B717" s="1132"/>
      <c r="C717" s="569"/>
      <c r="D717" s="570"/>
    </row>
    <row r="718" spans="2:4" hidden="1" outlineLevel="2" x14ac:dyDescent="0.3">
      <c r="B718" s="1132"/>
      <c r="C718" s="569"/>
      <c r="D718" s="570"/>
    </row>
    <row r="719" spans="2:4" hidden="1" outlineLevel="2" x14ac:dyDescent="0.3">
      <c r="B719" s="1132"/>
      <c r="C719" s="569"/>
      <c r="D719" s="570"/>
    </row>
    <row r="720" spans="2:4" hidden="1" outlineLevel="2" x14ac:dyDescent="0.3">
      <c r="B720" s="1132"/>
      <c r="C720" s="569"/>
      <c r="D720" s="570"/>
    </row>
    <row r="721" spans="2:4" hidden="1" outlineLevel="2" x14ac:dyDescent="0.3">
      <c r="B721" s="1132"/>
      <c r="C721" s="569"/>
      <c r="D721" s="570"/>
    </row>
    <row r="722" spans="2:4" hidden="1" outlineLevel="2" x14ac:dyDescent="0.3">
      <c r="B722" s="1132"/>
      <c r="C722" s="569"/>
      <c r="D722" s="570"/>
    </row>
    <row r="723" spans="2:4" hidden="1" outlineLevel="2" x14ac:dyDescent="0.3">
      <c r="B723" s="1132"/>
      <c r="C723" s="569"/>
      <c r="D723" s="570"/>
    </row>
    <row r="724" spans="2:4" hidden="1" outlineLevel="1" x14ac:dyDescent="0.3">
      <c r="B724" s="1132"/>
      <c r="C724" s="569"/>
      <c r="D724" s="570"/>
    </row>
    <row r="725" spans="2:4" hidden="1" outlineLevel="2" x14ac:dyDescent="0.3">
      <c r="B725" s="1132"/>
      <c r="C725" s="569"/>
      <c r="D725" s="570"/>
    </row>
    <row r="726" spans="2:4" hidden="1" outlineLevel="2" x14ac:dyDescent="0.3">
      <c r="B726" s="1132"/>
      <c r="C726" s="569"/>
      <c r="D726" s="570"/>
    </row>
    <row r="727" spans="2:4" hidden="1" outlineLevel="2" x14ac:dyDescent="0.3">
      <c r="B727" s="1132"/>
      <c r="C727" s="569"/>
      <c r="D727" s="570"/>
    </row>
    <row r="728" spans="2:4" hidden="1" outlineLevel="2" x14ac:dyDescent="0.3">
      <c r="B728" s="1132"/>
      <c r="C728" s="569"/>
      <c r="D728" s="570"/>
    </row>
    <row r="729" spans="2:4" hidden="1" outlineLevel="2" x14ac:dyDescent="0.3">
      <c r="B729" s="1132"/>
      <c r="C729" s="569"/>
      <c r="D729" s="570"/>
    </row>
    <row r="730" spans="2:4" hidden="1" outlineLevel="2" x14ac:dyDescent="0.3">
      <c r="B730" s="1132"/>
      <c r="C730" s="569"/>
      <c r="D730" s="570"/>
    </row>
    <row r="731" spans="2:4" hidden="1" outlineLevel="2" x14ac:dyDescent="0.3">
      <c r="B731" s="1132"/>
      <c r="C731" s="569"/>
      <c r="D731" s="570"/>
    </row>
    <row r="732" spans="2:4" hidden="1" outlineLevel="2" x14ac:dyDescent="0.3">
      <c r="B732" s="1132"/>
      <c r="C732" s="569"/>
      <c r="D732" s="570"/>
    </row>
    <row r="733" spans="2:4" hidden="1" outlineLevel="2" x14ac:dyDescent="0.3">
      <c r="B733" s="1132"/>
      <c r="C733" s="569"/>
      <c r="D733" s="570"/>
    </row>
    <row r="734" spans="2:4" hidden="1" outlineLevel="1" x14ac:dyDescent="0.3">
      <c r="B734" s="1132"/>
      <c r="C734" s="569"/>
      <c r="D734" s="570"/>
    </row>
    <row r="735" spans="2:4" hidden="1" outlineLevel="2" x14ac:dyDescent="0.3">
      <c r="B735" s="1132"/>
      <c r="C735" s="569"/>
      <c r="D735" s="570"/>
    </row>
    <row r="736" spans="2:4" hidden="1" outlineLevel="2" x14ac:dyDescent="0.3">
      <c r="B736" s="1132"/>
      <c r="C736" s="569"/>
      <c r="D736" s="570"/>
    </row>
    <row r="737" spans="2:4" hidden="1" outlineLevel="2" x14ac:dyDescent="0.3">
      <c r="B737" s="1132"/>
      <c r="C737" s="569"/>
      <c r="D737" s="570"/>
    </row>
    <row r="738" spans="2:4" hidden="1" outlineLevel="2" x14ac:dyDescent="0.3">
      <c r="B738" s="1132"/>
      <c r="C738" s="569"/>
      <c r="D738" s="570"/>
    </row>
    <row r="739" spans="2:4" hidden="1" outlineLevel="2" x14ac:dyDescent="0.3">
      <c r="B739" s="1132"/>
      <c r="C739" s="569"/>
      <c r="D739" s="570"/>
    </row>
    <row r="740" spans="2:4" hidden="1" outlineLevel="2" x14ac:dyDescent="0.3">
      <c r="B740" s="1132"/>
      <c r="C740" s="569"/>
      <c r="D740" s="570"/>
    </row>
    <row r="741" spans="2:4" hidden="1" outlineLevel="2" x14ac:dyDescent="0.3">
      <c r="B741" s="1132"/>
      <c r="C741" s="569"/>
      <c r="D741" s="570"/>
    </row>
    <row r="742" spans="2:4" hidden="1" outlineLevel="2" x14ac:dyDescent="0.3">
      <c r="B742" s="1132"/>
      <c r="C742" s="569"/>
      <c r="D742" s="570"/>
    </row>
    <row r="743" spans="2:4" hidden="1" outlineLevel="2" x14ac:dyDescent="0.3">
      <c r="B743" s="1132"/>
      <c r="C743" s="569"/>
      <c r="D743" s="570"/>
    </row>
    <row r="744" spans="2:4" hidden="1" outlineLevel="1" x14ac:dyDescent="0.3">
      <c r="B744" s="1132"/>
      <c r="C744" s="569"/>
      <c r="D744" s="570"/>
    </row>
    <row r="745" spans="2:4" hidden="1" outlineLevel="2" x14ac:dyDescent="0.3">
      <c r="B745" s="1132"/>
      <c r="C745" s="569"/>
      <c r="D745" s="570"/>
    </row>
    <row r="746" spans="2:4" hidden="1" outlineLevel="2" x14ac:dyDescent="0.3">
      <c r="B746" s="1132"/>
      <c r="C746" s="569"/>
      <c r="D746" s="570"/>
    </row>
    <row r="747" spans="2:4" hidden="1" outlineLevel="2" x14ac:dyDescent="0.3">
      <c r="B747" s="1132"/>
      <c r="C747" s="569"/>
      <c r="D747" s="570"/>
    </row>
    <row r="748" spans="2:4" hidden="1" outlineLevel="2" x14ac:dyDescent="0.3">
      <c r="B748" s="1132"/>
      <c r="C748" s="569"/>
      <c r="D748" s="570"/>
    </row>
    <row r="749" spans="2:4" hidden="1" outlineLevel="2" x14ac:dyDescent="0.3">
      <c r="B749" s="1132"/>
      <c r="C749" s="569"/>
      <c r="D749" s="570"/>
    </row>
    <row r="750" spans="2:4" hidden="1" outlineLevel="2" x14ac:dyDescent="0.3">
      <c r="B750" s="1132"/>
      <c r="C750" s="569"/>
      <c r="D750" s="570"/>
    </row>
    <row r="751" spans="2:4" hidden="1" outlineLevel="2" x14ac:dyDescent="0.3">
      <c r="B751" s="1132"/>
      <c r="C751" s="569"/>
      <c r="D751" s="570"/>
    </row>
    <row r="752" spans="2:4" hidden="1" outlineLevel="2" x14ac:dyDescent="0.3">
      <c r="B752" s="1132"/>
      <c r="C752" s="569"/>
      <c r="D752" s="570"/>
    </row>
    <row r="753" spans="2:4" hidden="1" outlineLevel="2" x14ac:dyDescent="0.3">
      <c r="B753" s="1132"/>
      <c r="C753" s="569"/>
      <c r="D753" s="570"/>
    </row>
    <row r="754" spans="2:4" hidden="1" outlineLevel="1" x14ac:dyDescent="0.3">
      <c r="B754" s="1132"/>
      <c r="C754" s="569"/>
      <c r="D754" s="570"/>
    </row>
    <row r="755" spans="2:4" hidden="1" outlineLevel="2" x14ac:dyDescent="0.3">
      <c r="B755" s="1132"/>
      <c r="C755" s="569"/>
      <c r="D755" s="570"/>
    </row>
    <row r="756" spans="2:4" hidden="1" outlineLevel="2" x14ac:dyDescent="0.3">
      <c r="B756" s="1132"/>
      <c r="C756" s="569"/>
      <c r="D756" s="570"/>
    </row>
    <row r="757" spans="2:4" hidden="1" outlineLevel="2" x14ac:dyDescent="0.3">
      <c r="B757" s="1132"/>
      <c r="C757" s="569"/>
      <c r="D757" s="570"/>
    </row>
    <row r="758" spans="2:4" hidden="1" outlineLevel="2" x14ac:dyDescent="0.3">
      <c r="B758" s="1132"/>
      <c r="C758" s="569"/>
      <c r="D758" s="570"/>
    </row>
    <row r="759" spans="2:4" hidden="1" outlineLevel="2" x14ac:dyDescent="0.3">
      <c r="B759" s="1132"/>
      <c r="C759" s="569"/>
      <c r="D759" s="570"/>
    </row>
    <row r="760" spans="2:4" hidden="1" outlineLevel="2" x14ac:dyDescent="0.3">
      <c r="B760" s="1132"/>
      <c r="C760" s="569"/>
      <c r="D760" s="570"/>
    </row>
    <row r="761" spans="2:4" hidden="1" outlineLevel="2" x14ac:dyDescent="0.3">
      <c r="B761" s="1132"/>
      <c r="C761" s="569"/>
      <c r="D761" s="570"/>
    </row>
    <row r="762" spans="2:4" hidden="1" outlineLevel="2" x14ac:dyDescent="0.3">
      <c r="B762" s="1132"/>
      <c r="C762" s="569"/>
      <c r="D762" s="570"/>
    </row>
    <row r="763" spans="2:4" hidden="1" outlineLevel="2" x14ac:dyDescent="0.3">
      <c r="B763" s="1132"/>
      <c r="C763" s="569"/>
      <c r="D763" s="570"/>
    </row>
    <row r="764" spans="2:4" hidden="1" outlineLevel="1" x14ac:dyDescent="0.3">
      <c r="B764" s="1132"/>
      <c r="C764" s="569"/>
      <c r="D764" s="570"/>
    </row>
    <row r="765" spans="2:4" hidden="1" outlineLevel="2" x14ac:dyDescent="0.3">
      <c r="B765" s="1132"/>
      <c r="C765" s="569"/>
      <c r="D765" s="570"/>
    </row>
    <row r="766" spans="2:4" hidden="1" outlineLevel="2" x14ac:dyDescent="0.3">
      <c r="B766" s="1132"/>
      <c r="C766" s="569"/>
      <c r="D766" s="570"/>
    </row>
    <row r="767" spans="2:4" hidden="1" outlineLevel="2" x14ac:dyDescent="0.3">
      <c r="B767" s="1132"/>
      <c r="C767" s="569"/>
      <c r="D767" s="570"/>
    </row>
    <row r="768" spans="2:4" hidden="1" outlineLevel="2" x14ac:dyDescent="0.3">
      <c r="B768" s="1132"/>
      <c r="C768" s="569"/>
      <c r="D768" s="570"/>
    </row>
    <row r="769" spans="2:4" hidden="1" outlineLevel="2" x14ac:dyDescent="0.3">
      <c r="B769" s="1132"/>
      <c r="C769" s="569"/>
      <c r="D769" s="570"/>
    </row>
    <row r="770" spans="2:4" hidden="1" outlineLevel="2" x14ac:dyDescent="0.3">
      <c r="B770" s="1132"/>
      <c r="C770" s="569"/>
      <c r="D770" s="570"/>
    </row>
    <row r="771" spans="2:4" hidden="1" outlineLevel="2" x14ac:dyDescent="0.3">
      <c r="B771" s="1132"/>
      <c r="C771" s="569"/>
      <c r="D771" s="570"/>
    </row>
    <row r="772" spans="2:4" hidden="1" outlineLevel="2" x14ac:dyDescent="0.3">
      <c r="B772" s="1132"/>
      <c r="C772" s="569"/>
      <c r="D772" s="570"/>
    </row>
    <row r="773" spans="2:4" hidden="1" outlineLevel="2" x14ac:dyDescent="0.3">
      <c r="B773" s="1132"/>
      <c r="C773" s="569"/>
      <c r="D773" s="570"/>
    </row>
    <row r="774" spans="2:4" hidden="1" outlineLevel="1" x14ac:dyDescent="0.3">
      <c r="B774" s="1132"/>
      <c r="C774" s="569"/>
      <c r="D774" s="570"/>
    </row>
    <row r="775" spans="2:4" hidden="1" outlineLevel="2" x14ac:dyDescent="0.3">
      <c r="B775" s="1132"/>
      <c r="C775" s="569"/>
      <c r="D775" s="570"/>
    </row>
    <row r="776" spans="2:4" hidden="1" outlineLevel="2" x14ac:dyDescent="0.3">
      <c r="B776" s="1132"/>
      <c r="C776" s="569"/>
      <c r="D776" s="570"/>
    </row>
    <row r="777" spans="2:4" hidden="1" outlineLevel="2" x14ac:dyDescent="0.3">
      <c r="B777" s="1132"/>
      <c r="C777" s="569"/>
      <c r="D777" s="570"/>
    </row>
    <row r="778" spans="2:4" hidden="1" outlineLevel="2" x14ac:dyDescent="0.3">
      <c r="B778" s="1132"/>
      <c r="C778" s="569"/>
      <c r="D778" s="570"/>
    </row>
    <row r="779" spans="2:4" hidden="1" outlineLevel="2" x14ac:dyDescent="0.3">
      <c r="B779" s="1132"/>
      <c r="C779" s="569"/>
      <c r="D779" s="570"/>
    </row>
    <row r="780" spans="2:4" hidden="1" outlineLevel="2" x14ac:dyDescent="0.3">
      <c r="B780" s="1132"/>
      <c r="C780" s="569"/>
      <c r="D780" s="570"/>
    </row>
    <row r="781" spans="2:4" hidden="1" outlineLevel="2" x14ac:dyDescent="0.3">
      <c r="B781" s="1132"/>
      <c r="C781" s="569"/>
      <c r="D781" s="570"/>
    </row>
    <row r="782" spans="2:4" hidden="1" outlineLevel="2" x14ac:dyDescent="0.3">
      <c r="B782" s="1132"/>
      <c r="C782" s="569"/>
      <c r="D782" s="570"/>
    </row>
    <row r="783" spans="2:4" hidden="1" outlineLevel="2" x14ac:dyDescent="0.3">
      <c r="B783" s="1132"/>
      <c r="C783" s="569"/>
      <c r="D783" s="570"/>
    </row>
    <row r="784" spans="2:4" hidden="1" outlineLevel="1" x14ac:dyDescent="0.3">
      <c r="B784" s="1132"/>
      <c r="C784" s="569"/>
      <c r="D784" s="570"/>
    </row>
    <row r="785" spans="2:4" hidden="1" outlineLevel="2" x14ac:dyDescent="0.3">
      <c r="B785" s="1132"/>
      <c r="C785" s="569"/>
      <c r="D785" s="570"/>
    </row>
    <row r="786" spans="2:4" hidden="1" outlineLevel="2" x14ac:dyDescent="0.3">
      <c r="B786" s="1132"/>
      <c r="C786" s="569"/>
      <c r="D786" s="570"/>
    </row>
    <row r="787" spans="2:4" hidden="1" outlineLevel="2" x14ac:dyDescent="0.3">
      <c r="B787" s="1132"/>
      <c r="C787" s="569"/>
      <c r="D787" s="570"/>
    </row>
    <row r="788" spans="2:4" hidden="1" outlineLevel="2" x14ac:dyDescent="0.3">
      <c r="B788" s="1132"/>
      <c r="C788" s="569"/>
      <c r="D788" s="570"/>
    </row>
    <row r="789" spans="2:4" hidden="1" outlineLevel="2" x14ac:dyDescent="0.3">
      <c r="B789" s="1132"/>
      <c r="C789" s="569"/>
      <c r="D789" s="570"/>
    </row>
    <row r="790" spans="2:4" hidden="1" outlineLevel="2" x14ac:dyDescent="0.3">
      <c r="B790" s="1132"/>
      <c r="C790" s="569"/>
      <c r="D790" s="570"/>
    </row>
    <row r="791" spans="2:4" hidden="1" outlineLevel="2" x14ac:dyDescent="0.3">
      <c r="B791" s="1132"/>
      <c r="C791" s="569"/>
      <c r="D791" s="570"/>
    </row>
    <row r="792" spans="2:4" hidden="1" outlineLevel="2" x14ac:dyDescent="0.3">
      <c r="B792" s="1132"/>
      <c r="C792" s="569"/>
      <c r="D792" s="570"/>
    </row>
    <row r="793" spans="2:4" hidden="1" outlineLevel="2" x14ac:dyDescent="0.3">
      <c r="B793" s="1132"/>
      <c r="C793" s="569"/>
      <c r="D793" s="570"/>
    </row>
    <row r="794" spans="2:4" hidden="1" outlineLevel="1" x14ac:dyDescent="0.3">
      <c r="B794" s="1132"/>
      <c r="C794" s="569"/>
      <c r="D794" s="570"/>
    </row>
    <row r="795" spans="2:4" hidden="1" outlineLevel="2" x14ac:dyDescent="0.3">
      <c r="B795" s="1132"/>
      <c r="C795" s="569"/>
      <c r="D795" s="570"/>
    </row>
    <row r="796" spans="2:4" hidden="1" outlineLevel="2" x14ac:dyDescent="0.3">
      <c r="B796" s="1132"/>
      <c r="C796" s="569"/>
      <c r="D796" s="570"/>
    </row>
    <row r="797" spans="2:4" hidden="1" outlineLevel="2" x14ac:dyDescent="0.3">
      <c r="B797" s="1132"/>
      <c r="C797" s="569"/>
      <c r="D797" s="570"/>
    </row>
    <row r="798" spans="2:4" hidden="1" outlineLevel="2" x14ac:dyDescent="0.3">
      <c r="B798" s="1132"/>
      <c r="C798" s="569"/>
      <c r="D798" s="570"/>
    </row>
    <row r="799" spans="2:4" hidden="1" outlineLevel="2" x14ac:dyDescent="0.3">
      <c r="B799" s="1132"/>
      <c r="C799" s="569"/>
      <c r="D799" s="570"/>
    </row>
    <row r="800" spans="2:4" hidden="1" outlineLevel="2" x14ac:dyDescent="0.3">
      <c r="B800" s="1132"/>
      <c r="C800" s="569"/>
      <c r="D800" s="570"/>
    </row>
    <row r="801" spans="2:4" hidden="1" outlineLevel="2" x14ac:dyDescent="0.3">
      <c r="B801" s="1132"/>
      <c r="C801" s="569"/>
      <c r="D801" s="570"/>
    </row>
    <row r="802" spans="2:4" hidden="1" outlineLevel="2" x14ac:dyDescent="0.3">
      <c r="B802" s="1132"/>
      <c r="C802" s="569"/>
      <c r="D802" s="570"/>
    </row>
    <row r="803" spans="2:4" hidden="1" outlineLevel="2" x14ac:dyDescent="0.3">
      <c r="B803" s="1132"/>
      <c r="C803" s="569"/>
      <c r="D803" s="570"/>
    </row>
    <row r="804" spans="2:4" hidden="1" outlineLevel="1" x14ac:dyDescent="0.3">
      <c r="B804" s="1132"/>
      <c r="C804" s="569"/>
      <c r="D804" s="570"/>
    </row>
    <row r="805" spans="2:4" hidden="1" outlineLevel="2" x14ac:dyDescent="0.3">
      <c r="B805" s="1132"/>
      <c r="C805" s="569"/>
      <c r="D805" s="570"/>
    </row>
    <row r="806" spans="2:4" hidden="1" outlineLevel="2" x14ac:dyDescent="0.3">
      <c r="B806" s="1132"/>
      <c r="C806" s="569"/>
      <c r="D806" s="570"/>
    </row>
    <row r="807" spans="2:4" hidden="1" outlineLevel="2" x14ac:dyDescent="0.3">
      <c r="B807" s="1132"/>
      <c r="C807" s="569"/>
      <c r="D807" s="570"/>
    </row>
    <row r="808" spans="2:4" hidden="1" outlineLevel="2" x14ac:dyDescent="0.3">
      <c r="B808" s="1132"/>
      <c r="C808" s="569"/>
      <c r="D808" s="570"/>
    </row>
    <row r="809" spans="2:4" hidden="1" outlineLevel="2" x14ac:dyDescent="0.3">
      <c r="B809" s="1132"/>
      <c r="C809" s="569"/>
      <c r="D809" s="570"/>
    </row>
    <row r="810" spans="2:4" hidden="1" outlineLevel="2" x14ac:dyDescent="0.3">
      <c r="B810" s="1132"/>
      <c r="C810" s="569"/>
      <c r="D810" s="570"/>
    </row>
    <row r="811" spans="2:4" hidden="1" outlineLevel="2" x14ac:dyDescent="0.3">
      <c r="B811" s="1132"/>
      <c r="C811" s="569"/>
      <c r="D811" s="570"/>
    </row>
    <row r="812" spans="2:4" hidden="1" outlineLevel="2" x14ac:dyDescent="0.3">
      <c r="B812" s="1132"/>
      <c r="C812" s="569"/>
      <c r="D812" s="570"/>
    </row>
    <row r="813" spans="2:4" hidden="1" outlineLevel="2" x14ac:dyDescent="0.3">
      <c r="B813" s="1132"/>
      <c r="C813" s="569"/>
      <c r="D813" s="570"/>
    </row>
    <row r="814" spans="2:4" hidden="1" outlineLevel="1" x14ac:dyDescent="0.3">
      <c r="B814" s="1132"/>
      <c r="C814" s="569"/>
      <c r="D814" s="570"/>
    </row>
    <row r="815" spans="2:4" hidden="1" outlineLevel="2" x14ac:dyDescent="0.3">
      <c r="B815" s="1132"/>
      <c r="C815" s="569"/>
      <c r="D815" s="570"/>
    </row>
    <row r="816" spans="2:4" hidden="1" outlineLevel="2" x14ac:dyDescent="0.3">
      <c r="B816" s="1132"/>
      <c r="C816" s="569"/>
      <c r="D816" s="570"/>
    </row>
    <row r="817" spans="2:4" hidden="1" outlineLevel="2" x14ac:dyDescent="0.3">
      <c r="B817" s="1132"/>
      <c r="C817" s="569"/>
      <c r="D817" s="570"/>
    </row>
    <row r="818" spans="2:4" hidden="1" outlineLevel="2" x14ac:dyDescent="0.3">
      <c r="B818" s="1132"/>
      <c r="C818" s="569"/>
      <c r="D818" s="570"/>
    </row>
    <row r="819" spans="2:4" hidden="1" outlineLevel="2" x14ac:dyDescent="0.3">
      <c r="B819" s="1132"/>
      <c r="C819" s="569"/>
      <c r="D819" s="570"/>
    </row>
    <row r="820" spans="2:4" hidden="1" outlineLevel="2" x14ac:dyDescent="0.3">
      <c r="B820" s="1132"/>
      <c r="C820" s="569"/>
      <c r="D820" s="570"/>
    </row>
    <row r="821" spans="2:4" hidden="1" outlineLevel="2" x14ac:dyDescent="0.3">
      <c r="B821" s="1132"/>
      <c r="C821" s="569"/>
      <c r="D821" s="570"/>
    </row>
    <row r="822" spans="2:4" hidden="1" outlineLevel="2" x14ac:dyDescent="0.3">
      <c r="B822" s="1132"/>
      <c r="C822" s="569"/>
      <c r="D822" s="570"/>
    </row>
    <row r="823" spans="2:4" hidden="1" outlineLevel="2" x14ac:dyDescent="0.3">
      <c r="B823" s="1132"/>
      <c r="C823" s="569"/>
      <c r="D823" s="570"/>
    </row>
    <row r="824" spans="2:4" hidden="1" outlineLevel="1" x14ac:dyDescent="0.3">
      <c r="B824" s="1132"/>
      <c r="C824" s="569"/>
      <c r="D824" s="570"/>
    </row>
    <row r="825" spans="2:4" hidden="1" outlineLevel="2" x14ac:dyDescent="0.3">
      <c r="B825" s="1132"/>
      <c r="C825" s="569"/>
      <c r="D825" s="570"/>
    </row>
    <row r="826" spans="2:4" hidden="1" outlineLevel="2" x14ac:dyDescent="0.3">
      <c r="B826" s="1132"/>
      <c r="C826" s="569"/>
      <c r="D826" s="570"/>
    </row>
    <row r="827" spans="2:4" hidden="1" outlineLevel="2" x14ac:dyDescent="0.3">
      <c r="B827" s="1132"/>
      <c r="C827" s="569"/>
      <c r="D827" s="570"/>
    </row>
    <row r="828" spans="2:4" hidden="1" outlineLevel="2" x14ac:dyDescent="0.3">
      <c r="B828" s="1132"/>
      <c r="C828" s="569"/>
      <c r="D828" s="570"/>
    </row>
    <row r="829" spans="2:4" hidden="1" outlineLevel="2" x14ac:dyDescent="0.3">
      <c r="B829" s="1132"/>
      <c r="C829" s="569"/>
      <c r="D829" s="570"/>
    </row>
    <row r="830" spans="2:4" hidden="1" outlineLevel="2" x14ac:dyDescent="0.3">
      <c r="B830" s="1132"/>
      <c r="C830" s="569"/>
      <c r="D830" s="570"/>
    </row>
    <row r="831" spans="2:4" hidden="1" outlineLevel="2" x14ac:dyDescent="0.3">
      <c r="B831" s="1132"/>
      <c r="C831" s="569"/>
      <c r="D831" s="570"/>
    </row>
    <row r="832" spans="2:4" hidden="1" outlineLevel="2" x14ac:dyDescent="0.3">
      <c r="B832" s="1132"/>
      <c r="C832" s="569"/>
      <c r="D832" s="570"/>
    </row>
    <row r="833" spans="2:4" hidden="1" outlineLevel="2" x14ac:dyDescent="0.3">
      <c r="B833" s="1132"/>
      <c r="C833" s="569"/>
      <c r="D833" s="570"/>
    </row>
    <row r="834" spans="2:4" hidden="1" outlineLevel="1" x14ac:dyDescent="0.3">
      <c r="B834" s="1132"/>
      <c r="C834" s="569"/>
      <c r="D834" s="570"/>
    </row>
    <row r="835" spans="2:4" hidden="1" outlineLevel="2" x14ac:dyDescent="0.3">
      <c r="B835" s="1132"/>
      <c r="C835" s="569"/>
      <c r="D835" s="570"/>
    </row>
    <row r="836" spans="2:4" hidden="1" outlineLevel="2" x14ac:dyDescent="0.3">
      <c r="B836" s="1132"/>
      <c r="C836" s="569"/>
      <c r="D836" s="570"/>
    </row>
    <row r="837" spans="2:4" hidden="1" outlineLevel="2" x14ac:dyDescent="0.3">
      <c r="B837" s="1132"/>
      <c r="C837" s="569"/>
      <c r="D837" s="570"/>
    </row>
    <row r="838" spans="2:4" hidden="1" outlineLevel="2" x14ac:dyDescent="0.3">
      <c r="B838" s="1132"/>
      <c r="C838" s="569"/>
      <c r="D838" s="570"/>
    </row>
    <row r="839" spans="2:4" hidden="1" outlineLevel="2" x14ac:dyDescent="0.3">
      <c r="B839" s="1132"/>
      <c r="C839" s="569"/>
      <c r="D839" s="570"/>
    </row>
    <row r="840" spans="2:4" hidden="1" outlineLevel="2" x14ac:dyDescent="0.3">
      <c r="B840" s="1132"/>
      <c r="C840" s="569"/>
      <c r="D840" s="570"/>
    </row>
    <row r="841" spans="2:4" hidden="1" outlineLevel="2" x14ac:dyDescent="0.3">
      <c r="B841" s="1132"/>
      <c r="C841" s="569"/>
      <c r="D841" s="570"/>
    </row>
    <row r="842" spans="2:4" hidden="1" outlineLevel="2" x14ac:dyDescent="0.3">
      <c r="B842" s="1132"/>
      <c r="C842" s="569"/>
      <c r="D842" s="570"/>
    </row>
    <row r="843" spans="2:4" hidden="1" outlineLevel="2" x14ac:dyDescent="0.3">
      <c r="B843" s="1132"/>
      <c r="C843" s="569"/>
      <c r="D843" s="570"/>
    </row>
    <row r="844" spans="2:4" hidden="1" outlineLevel="1" x14ac:dyDescent="0.3">
      <c r="B844" s="1132"/>
      <c r="C844" s="569"/>
      <c r="D844" s="570"/>
    </row>
    <row r="845" spans="2:4" hidden="1" outlineLevel="2" x14ac:dyDescent="0.3">
      <c r="B845" s="1132"/>
      <c r="C845" s="569"/>
      <c r="D845" s="570"/>
    </row>
    <row r="846" spans="2:4" hidden="1" outlineLevel="2" x14ac:dyDescent="0.3">
      <c r="B846" s="1132"/>
      <c r="C846" s="569"/>
      <c r="D846" s="570"/>
    </row>
    <row r="847" spans="2:4" hidden="1" outlineLevel="2" x14ac:dyDescent="0.3">
      <c r="B847" s="1132"/>
      <c r="C847" s="569"/>
      <c r="D847" s="570"/>
    </row>
    <row r="848" spans="2:4" hidden="1" outlineLevel="2" x14ac:dyDescent="0.3">
      <c r="B848" s="1132"/>
      <c r="C848" s="569"/>
      <c r="D848" s="570"/>
    </row>
    <row r="849" spans="2:4" hidden="1" outlineLevel="2" x14ac:dyDescent="0.3">
      <c r="B849" s="1132"/>
      <c r="C849" s="569"/>
      <c r="D849" s="570"/>
    </row>
    <row r="850" spans="2:4" hidden="1" outlineLevel="2" x14ac:dyDescent="0.3">
      <c r="B850" s="1132"/>
      <c r="C850" s="569"/>
      <c r="D850" s="570"/>
    </row>
    <row r="851" spans="2:4" hidden="1" outlineLevel="2" x14ac:dyDescent="0.3">
      <c r="B851" s="1132"/>
      <c r="C851" s="569"/>
      <c r="D851" s="570"/>
    </row>
    <row r="852" spans="2:4" hidden="1" outlineLevel="2" x14ac:dyDescent="0.3">
      <c r="B852" s="1132"/>
      <c r="C852" s="569"/>
      <c r="D852" s="570"/>
    </row>
    <row r="853" spans="2:4" hidden="1" outlineLevel="2" x14ac:dyDescent="0.3">
      <c r="B853" s="1132"/>
      <c r="C853" s="569"/>
      <c r="D853" s="570"/>
    </row>
    <row r="854" spans="2:4" hidden="1" outlineLevel="1" x14ac:dyDescent="0.3">
      <c r="B854" s="1132"/>
      <c r="C854" s="569"/>
      <c r="D854" s="570"/>
    </row>
    <row r="855" spans="2:4" hidden="1" outlineLevel="2" x14ac:dyDescent="0.3">
      <c r="B855" s="1132"/>
      <c r="C855" s="569"/>
      <c r="D855" s="570"/>
    </row>
    <row r="856" spans="2:4" hidden="1" outlineLevel="2" x14ac:dyDescent="0.3">
      <c r="B856" s="1132"/>
      <c r="C856" s="569"/>
      <c r="D856" s="570"/>
    </row>
    <row r="857" spans="2:4" hidden="1" outlineLevel="2" x14ac:dyDescent="0.3">
      <c r="B857" s="1132"/>
      <c r="C857" s="569"/>
      <c r="D857" s="570"/>
    </row>
    <row r="858" spans="2:4" hidden="1" outlineLevel="2" x14ac:dyDescent="0.3">
      <c r="B858" s="1132"/>
      <c r="C858" s="569"/>
      <c r="D858" s="570"/>
    </row>
    <row r="859" spans="2:4" hidden="1" outlineLevel="2" x14ac:dyDescent="0.3">
      <c r="B859" s="1132"/>
      <c r="C859" s="569"/>
      <c r="D859" s="570"/>
    </row>
    <row r="860" spans="2:4" hidden="1" outlineLevel="2" x14ac:dyDescent="0.3">
      <c r="B860" s="1132"/>
      <c r="C860" s="569"/>
      <c r="D860" s="570"/>
    </row>
    <row r="861" spans="2:4" hidden="1" outlineLevel="2" x14ac:dyDescent="0.3">
      <c r="B861" s="1132"/>
      <c r="C861" s="569"/>
      <c r="D861" s="570"/>
    </row>
    <row r="862" spans="2:4" hidden="1" outlineLevel="2" x14ac:dyDescent="0.3">
      <c r="B862" s="1132"/>
      <c r="C862" s="569"/>
      <c r="D862" s="570"/>
    </row>
    <row r="863" spans="2:4" hidden="1" outlineLevel="2" x14ac:dyDescent="0.3">
      <c r="B863" s="1132"/>
      <c r="C863" s="569"/>
      <c r="D863" s="570"/>
    </row>
    <row r="864" spans="2:4" hidden="1" outlineLevel="1" x14ac:dyDescent="0.3">
      <c r="B864" s="1132"/>
      <c r="C864" s="569"/>
      <c r="D864" s="570"/>
    </row>
    <row r="865" spans="2:4" hidden="1" outlineLevel="2" x14ac:dyDescent="0.3">
      <c r="B865" s="1132"/>
      <c r="C865" s="569"/>
      <c r="D865" s="570"/>
    </row>
    <row r="866" spans="2:4" hidden="1" outlineLevel="2" x14ac:dyDescent="0.3">
      <c r="B866" s="1132"/>
      <c r="C866" s="569"/>
      <c r="D866" s="570"/>
    </row>
    <row r="867" spans="2:4" hidden="1" outlineLevel="2" x14ac:dyDescent="0.3">
      <c r="B867" s="1132"/>
      <c r="C867" s="569"/>
      <c r="D867" s="570"/>
    </row>
    <row r="868" spans="2:4" hidden="1" outlineLevel="2" x14ac:dyDescent="0.3">
      <c r="B868" s="1132"/>
      <c r="C868" s="569"/>
      <c r="D868" s="570"/>
    </row>
    <row r="869" spans="2:4" hidden="1" outlineLevel="2" x14ac:dyDescent="0.3">
      <c r="B869" s="1132"/>
      <c r="C869" s="569"/>
      <c r="D869" s="570"/>
    </row>
    <row r="870" spans="2:4" hidden="1" outlineLevel="2" x14ac:dyDescent="0.3">
      <c r="B870" s="1132"/>
      <c r="C870" s="569"/>
      <c r="D870" s="570"/>
    </row>
    <row r="871" spans="2:4" hidden="1" outlineLevel="2" x14ac:dyDescent="0.3">
      <c r="B871" s="1132"/>
      <c r="C871" s="569"/>
      <c r="D871" s="570"/>
    </row>
    <row r="872" spans="2:4" hidden="1" outlineLevel="2" x14ac:dyDescent="0.3">
      <c r="B872" s="1132"/>
      <c r="C872" s="569"/>
      <c r="D872" s="570"/>
    </row>
    <row r="873" spans="2:4" hidden="1" outlineLevel="2" x14ac:dyDescent="0.3">
      <c r="B873" s="1132"/>
      <c r="C873" s="569"/>
      <c r="D873" s="570"/>
    </row>
    <row r="874" spans="2:4" hidden="1" outlineLevel="1" x14ac:dyDescent="0.3">
      <c r="B874" s="1132"/>
      <c r="C874" s="569"/>
      <c r="D874" s="570"/>
    </row>
    <row r="875" spans="2:4" hidden="1" outlineLevel="2" x14ac:dyDescent="0.3">
      <c r="B875" s="1132"/>
      <c r="C875" s="569"/>
      <c r="D875" s="570"/>
    </row>
    <row r="876" spans="2:4" hidden="1" outlineLevel="2" x14ac:dyDescent="0.3">
      <c r="B876" s="1132"/>
      <c r="C876" s="569"/>
      <c r="D876" s="570"/>
    </row>
    <row r="877" spans="2:4" hidden="1" outlineLevel="2" x14ac:dyDescent="0.3">
      <c r="B877" s="1132"/>
      <c r="C877" s="569"/>
      <c r="D877" s="570"/>
    </row>
    <row r="878" spans="2:4" hidden="1" outlineLevel="2" x14ac:dyDescent="0.3">
      <c r="B878" s="1132"/>
      <c r="C878" s="569"/>
      <c r="D878" s="570"/>
    </row>
    <row r="879" spans="2:4" hidden="1" outlineLevel="2" x14ac:dyDescent="0.3">
      <c r="B879" s="1132"/>
      <c r="C879" s="569"/>
      <c r="D879" s="570"/>
    </row>
    <row r="880" spans="2:4" hidden="1" outlineLevel="2" x14ac:dyDescent="0.3">
      <c r="B880" s="1132"/>
      <c r="C880" s="569"/>
      <c r="D880" s="570"/>
    </row>
    <row r="881" spans="2:4" hidden="1" outlineLevel="2" x14ac:dyDescent="0.3">
      <c r="B881" s="1132"/>
      <c r="C881" s="569"/>
      <c r="D881" s="570"/>
    </row>
    <row r="882" spans="2:4" hidden="1" outlineLevel="2" x14ac:dyDescent="0.3">
      <c r="B882" s="1132"/>
      <c r="C882" s="569"/>
      <c r="D882" s="570"/>
    </row>
    <row r="883" spans="2:4" hidden="1" outlineLevel="2" x14ac:dyDescent="0.3">
      <c r="B883" s="1132"/>
      <c r="C883" s="569"/>
      <c r="D883" s="570"/>
    </row>
    <row r="884" spans="2:4" hidden="1" outlineLevel="1" x14ac:dyDescent="0.3">
      <c r="B884" s="1132"/>
      <c r="C884" s="569"/>
      <c r="D884" s="570"/>
    </row>
    <row r="885" spans="2:4" hidden="1" outlineLevel="2" x14ac:dyDescent="0.3">
      <c r="B885" s="1132"/>
      <c r="C885" s="569"/>
      <c r="D885" s="570"/>
    </row>
    <row r="886" spans="2:4" hidden="1" outlineLevel="2" x14ac:dyDescent="0.3">
      <c r="B886" s="1132"/>
      <c r="C886" s="569"/>
      <c r="D886" s="570"/>
    </row>
    <row r="887" spans="2:4" hidden="1" outlineLevel="2" x14ac:dyDescent="0.3">
      <c r="B887" s="1132"/>
      <c r="C887" s="569"/>
      <c r="D887" s="570"/>
    </row>
    <row r="888" spans="2:4" hidden="1" outlineLevel="2" x14ac:dyDescent="0.3">
      <c r="B888" s="1132"/>
      <c r="C888" s="569"/>
      <c r="D888" s="570"/>
    </row>
    <row r="889" spans="2:4" hidden="1" outlineLevel="2" x14ac:dyDescent="0.3">
      <c r="B889" s="1132"/>
      <c r="C889" s="569"/>
      <c r="D889" s="570"/>
    </row>
    <row r="890" spans="2:4" hidden="1" outlineLevel="2" x14ac:dyDescent="0.3">
      <c r="B890" s="1132"/>
      <c r="C890" s="569"/>
      <c r="D890" s="570"/>
    </row>
    <row r="891" spans="2:4" hidden="1" outlineLevel="2" x14ac:dyDescent="0.3">
      <c r="B891" s="1132"/>
      <c r="C891" s="569"/>
      <c r="D891" s="570"/>
    </row>
    <row r="892" spans="2:4" hidden="1" outlineLevel="2" x14ac:dyDescent="0.3">
      <c r="B892" s="1132"/>
      <c r="C892" s="569"/>
      <c r="D892" s="570"/>
    </row>
    <row r="893" spans="2:4" hidden="1" outlineLevel="2" x14ac:dyDescent="0.3">
      <c r="B893" s="1132"/>
      <c r="C893" s="569"/>
      <c r="D893" s="570"/>
    </row>
    <row r="894" spans="2:4" hidden="1" outlineLevel="1" x14ac:dyDescent="0.3">
      <c r="B894" s="1132"/>
      <c r="C894" s="569"/>
      <c r="D894" s="570"/>
    </row>
    <row r="895" spans="2:4" hidden="1" outlineLevel="2" x14ac:dyDescent="0.3">
      <c r="B895" s="1132"/>
      <c r="C895" s="569"/>
      <c r="D895" s="570"/>
    </row>
    <row r="896" spans="2:4" hidden="1" outlineLevel="2" x14ac:dyDescent="0.3">
      <c r="B896" s="1132"/>
      <c r="C896" s="569"/>
      <c r="D896" s="570"/>
    </row>
    <row r="897" spans="2:4" hidden="1" outlineLevel="2" x14ac:dyDescent="0.3">
      <c r="B897" s="1132"/>
      <c r="C897" s="569"/>
      <c r="D897" s="570"/>
    </row>
    <row r="898" spans="2:4" hidden="1" outlineLevel="2" x14ac:dyDescent="0.3">
      <c r="B898" s="1132"/>
      <c r="C898" s="569"/>
      <c r="D898" s="570"/>
    </row>
    <row r="899" spans="2:4" hidden="1" outlineLevel="2" x14ac:dyDescent="0.3">
      <c r="B899" s="1132"/>
      <c r="C899" s="569"/>
      <c r="D899" s="570"/>
    </row>
    <row r="900" spans="2:4" hidden="1" outlineLevel="2" x14ac:dyDescent="0.3">
      <c r="B900" s="1132"/>
      <c r="C900" s="569"/>
      <c r="D900" s="570"/>
    </row>
    <row r="901" spans="2:4" hidden="1" outlineLevel="2" x14ac:dyDescent="0.3">
      <c r="B901" s="1132"/>
      <c r="C901" s="569"/>
      <c r="D901" s="570"/>
    </row>
    <row r="902" spans="2:4" hidden="1" outlineLevel="2" x14ac:dyDescent="0.3">
      <c r="B902" s="1132"/>
      <c r="C902" s="569"/>
      <c r="D902" s="570"/>
    </row>
    <row r="903" spans="2:4" hidden="1" outlineLevel="2" x14ac:dyDescent="0.3">
      <c r="B903" s="1132"/>
      <c r="C903" s="569"/>
      <c r="D903" s="570"/>
    </row>
    <row r="904" spans="2:4" hidden="1" outlineLevel="1" x14ac:dyDescent="0.3">
      <c r="B904" s="1132"/>
      <c r="C904" s="569"/>
      <c r="D904" s="570"/>
    </row>
    <row r="905" spans="2:4" hidden="1" outlineLevel="2" x14ac:dyDescent="0.3">
      <c r="B905" s="1132"/>
      <c r="C905" s="569"/>
      <c r="D905" s="570"/>
    </row>
    <row r="906" spans="2:4" hidden="1" outlineLevel="2" x14ac:dyDescent="0.3">
      <c r="B906" s="1132"/>
      <c r="C906" s="569"/>
      <c r="D906" s="570"/>
    </row>
    <row r="907" spans="2:4" hidden="1" outlineLevel="2" x14ac:dyDescent="0.3">
      <c r="B907" s="1132"/>
      <c r="C907" s="569"/>
      <c r="D907" s="570"/>
    </row>
    <row r="908" spans="2:4" hidden="1" outlineLevel="2" x14ac:dyDescent="0.3">
      <c r="B908" s="1132"/>
      <c r="C908" s="569"/>
      <c r="D908" s="570"/>
    </row>
    <row r="909" spans="2:4" hidden="1" outlineLevel="2" x14ac:dyDescent="0.3">
      <c r="B909" s="1132"/>
      <c r="C909" s="569"/>
      <c r="D909" s="570"/>
    </row>
    <row r="910" spans="2:4" hidden="1" outlineLevel="2" x14ac:dyDescent="0.3">
      <c r="B910" s="1132"/>
      <c r="C910" s="569"/>
      <c r="D910" s="570"/>
    </row>
    <row r="911" spans="2:4" hidden="1" outlineLevel="2" x14ac:dyDescent="0.3">
      <c r="B911" s="1132"/>
      <c r="C911" s="569"/>
      <c r="D911" s="570"/>
    </row>
    <row r="912" spans="2:4" hidden="1" outlineLevel="2" x14ac:dyDescent="0.3">
      <c r="B912" s="1132"/>
      <c r="C912" s="569"/>
      <c r="D912" s="570"/>
    </row>
    <row r="913" spans="2:4" hidden="1" outlineLevel="2" x14ac:dyDescent="0.3">
      <c r="B913" s="1132"/>
      <c r="C913" s="569"/>
      <c r="D913" s="570"/>
    </row>
    <row r="914" spans="2:4" hidden="1" outlineLevel="1" x14ac:dyDescent="0.3">
      <c r="B914" s="1132"/>
      <c r="C914" s="569"/>
      <c r="D914" s="570"/>
    </row>
    <row r="915" spans="2:4" hidden="1" outlineLevel="2" x14ac:dyDescent="0.3">
      <c r="B915" s="1132"/>
      <c r="C915" s="569"/>
      <c r="D915" s="570"/>
    </row>
    <row r="916" spans="2:4" hidden="1" outlineLevel="2" x14ac:dyDescent="0.3">
      <c r="B916" s="1132"/>
      <c r="C916" s="569"/>
      <c r="D916" s="570"/>
    </row>
    <row r="917" spans="2:4" hidden="1" outlineLevel="2" x14ac:dyDescent="0.3">
      <c r="B917" s="1132"/>
      <c r="C917" s="569"/>
      <c r="D917" s="570"/>
    </row>
    <row r="918" spans="2:4" hidden="1" outlineLevel="2" x14ac:dyDescent="0.3">
      <c r="B918" s="1132"/>
      <c r="C918" s="569"/>
      <c r="D918" s="570"/>
    </row>
    <row r="919" spans="2:4" hidden="1" outlineLevel="2" x14ac:dyDescent="0.3">
      <c r="B919" s="1132"/>
      <c r="C919" s="569"/>
      <c r="D919" s="570"/>
    </row>
    <row r="920" spans="2:4" hidden="1" outlineLevel="2" x14ac:dyDescent="0.3">
      <c r="B920" s="1132"/>
      <c r="C920" s="569"/>
      <c r="D920" s="570"/>
    </row>
    <row r="921" spans="2:4" hidden="1" outlineLevel="2" x14ac:dyDescent="0.3">
      <c r="B921" s="1132"/>
      <c r="C921" s="569"/>
      <c r="D921" s="570"/>
    </row>
    <row r="922" spans="2:4" hidden="1" outlineLevel="2" x14ac:dyDescent="0.3">
      <c r="B922" s="1132"/>
      <c r="C922" s="569"/>
      <c r="D922" s="570"/>
    </row>
    <row r="923" spans="2:4" hidden="1" outlineLevel="2" x14ac:dyDescent="0.3">
      <c r="B923" s="1132"/>
      <c r="C923" s="569"/>
      <c r="D923" s="570"/>
    </row>
    <row r="924" spans="2:4" hidden="1" outlineLevel="1" x14ac:dyDescent="0.3">
      <c r="B924" s="1132"/>
      <c r="C924" s="569"/>
      <c r="D924" s="570"/>
    </row>
    <row r="925" spans="2:4" hidden="1" outlineLevel="2" x14ac:dyDescent="0.3">
      <c r="B925" s="1132"/>
      <c r="C925" s="569"/>
      <c r="D925" s="570"/>
    </row>
    <row r="926" spans="2:4" hidden="1" outlineLevel="2" x14ac:dyDescent="0.3">
      <c r="B926" s="1132"/>
      <c r="C926" s="569"/>
      <c r="D926" s="570"/>
    </row>
    <row r="927" spans="2:4" hidden="1" outlineLevel="2" x14ac:dyDescent="0.3">
      <c r="B927" s="1132"/>
      <c r="C927" s="569"/>
      <c r="D927" s="570"/>
    </row>
    <row r="928" spans="2:4" hidden="1" outlineLevel="2" x14ac:dyDescent="0.3">
      <c r="B928" s="1132"/>
      <c r="C928" s="569"/>
      <c r="D928" s="570"/>
    </row>
    <row r="929" spans="2:4" hidden="1" outlineLevel="2" x14ac:dyDescent="0.3">
      <c r="B929" s="1132"/>
      <c r="C929" s="569"/>
      <c r="D929" s="570"/>
    </row>
    <row r="930" spans="2:4" hidden="1" outlineLevel="2" x14ac:dyDescent="0.3">
      <c r="B930" s="1132"/>
      <c r="C930" s="569"/>
      <c r="D930" s="570"/>
    </row>
    <row r="931" spans="2:4" hidden="1" outlineLevel="2" x14ac:dyDescent="0.3">
      <c r="B931" s="1132"/>
      <c r="C931" s="569"/>
      <c r="D931" s="570"/>
    </row>
    <row r="932" spans="2:4" hidden="1" outlineLevel="2" x14ac:dyDescent="0.3">
      <c r="B932" s="1132"/>
      <c r="C932" s="569"/>
      <c r="D932" s="570"/>
    </row>
    <row r="933" spans="2:4" hidden="1" outlineLevel="2" x14ac:dyDescent="0.3">
      <c r="B933" s="1132"/>
      <c r="C933" s="569"/>
      <c r="D933" s="570"/>
    </row>
    <row r="934" spans="2:4" hidden="1" outlineLevel="1" x14ac:dyDescent="0.3">
      <c r="B934" s="1132"/>
      <c r="C934" s="569"/>
      <c r="D934" s="570"/>
    </row>
    <row r="935" spans="2:4" hidden="1" outlineLevel="2" x14ac:dyDescent="0.3">
      <c r="B935" s="1132"/>
      <c r="C935" s="569"/>
      <c r="D935" s="570"/>
    </row>
    <row r="936" spans="2:4" hidden="1" outlineLevel="2" x14ac:dyDescent="0.3">
      <c r="B936" s="1132"/>
      <c r="C936" s="569"/>
      <c r="D936" s="570"/>
    </row>
    <row r="937" spans="2:4" hidden="1" outlineLevel="2" x14ac:dyDescent="0.3">
      <c r="B937" s="1132"/>
      <c r="C937" s="569"/>
      <c r="D937" s="570"/>
    </row>
    <row r="938" spans="2:4" hidden="1" outlineLevel="2" x14ac:dyDescent="0.3">
      <c r="B938" s="1132"/>
      <c r="C938" s="569"/>
      <c r="D938" s="570"/>
    </row>
    <row r="939" spans="2:4" hidden="1" outlineLevel="2" x14ac:dyDescent="0.3">
      <c r="B939" s="1132"/>
      <c r="C939" s="569"/>
      <c r="D939" s="570"/>
    </row>
    <row r="940" spans="2:4" hidden="1" outlineLevel="2" x14ac:dyDescent="0.3">
      <c r="B940" s="1132"/>
      <c r="C940" s="569"/>
      <c r="D940" s="570"/>
    </row>
    <row r="941" spans="2:4" hidden="1" outlineLevel="2" x14ac:dyDescent="0.3">
      <c r="B941" s="1132"/>
      <c r="C941" s="569"/>
      <c r="D941" s="570"/>
    </row>
    <row r="942" spans="2:4" hidden="1" outlineLevel="2" x14ac:dyDescent="0.3">
      <c r="B942" s="1132"/>
      <c r="C942" s="569"/>
      <c r="D942" s="570"/>
    </row>
    <row r="943" spans="2:4" hidden="1" outlineLevel="2" x14ac:dyDescent="0.3">
      <c r="B943" s="1132"/>
      <c r="C943" s="569"/>
      <c r="D943" s="570"/>
    </row>
    <row r="944" spans="2:4" hidden="1" outlineLevel="1" x14ac:dyDescent="0.3">
      <c r="B944" s="1132"/>
      <c r="C944" s="569"/>
      <c r="D944" s="570"/>
    </row>
    <row r="945" spans="2:4" hidden="1" outlineLevel="2" x14ac:dyDescent="0.3">
      <c r="B945" s="1132"/>
      <c r="C945" s="569"/>
      <c r="D945" s="570"/>
    </row>
    <row r="946" spans="2:4" hidden="1" outlineLevel="2" x14ac:dyDescent="0.3">
      <c r="B946" s="1132"/>
      <c r="C946" s="569"/>
      <c r="D946" s="570"/>
    </row>
    <row r="947" spans="2:4" hidden="1" outlineLevel="2" x14ac:dyDescent="0.3">
      <c r="B947" s="1132"/>
      <c r="C947" s="569"/>
      <c r="D947" s="570"/>
    </row>
    <row r="948" spans="2:4" hidden="1" outlineLevel="2" x14ac:dyDescent="0.3">
      <c r="B948" s="1132"/>
      <c r="C948" s="569"/>
      <c r="D948" s="570"/>
    </row>
    <row r="949" spans="2:4" hidden="1" outlineLevel="2" x14ac:dyDescent="0.3">
      <c r="B949" s="1132"/>
      <c r="C949" s="569"/>
      <c r="D949" s="570"/>
    </row>
    <row r="950" spans="2:4" hidden="1" outlineLevel="2" x14ac:dyDescent="0.3">
      <c r="B950" s="1132"/>
      <c r="C950" s="569"/>
      <c r="D950" s="570"/>
    </row>
    <row r="951" spans="2:4" hidden="1" outlineLevel="2" x14ac:dyDescent="0.3">
      <c r="B951" s="1132"/>
      <c r="C951" s="569"/>
      <c r="D951" s="570"/>
    </row>
    <row r="952" spans="2:4" hidden="1" outlineLevel="2" x14ac:dyDescent="0.3">
      <c r="B952" s="1132"/>
      <c r="C952" s="569"/>
      <c r="D952" s="570"/>
    </row>
    <row r="953" spans="2:4" hidden="1" outlineLevel="2" x14ac:dyDescent="0.3">
      <c r="B953" s="1132"/>
      <c r="C953" s="569"/>
      <c r="D953" s="570"/>
    </row>
    <row r="954" spans="2:4" hidden="1" outlineLevel="1" x14ac:dyDescent="0.3">
      <c r="B954" s="1132"/>
      <c r="C954" s="569"/>
      <c r="D954" s="570"/>
    </row>
    <row r="955" spans="2:4" hidden="1" outlineLevel="2" x14ac:dyDescent="0.3">
      <c r="B955" s="1132"/>
      <c r="C955" s="569"/>
      <c r="D955" s="570"/>
    </row>
    <row r="956" spans="2:4" hidden="1" outlineLevel="2" x14ac:dyDescent="0.3">
      <c r="B956" s="1132"/>
      <c r="C956" s="569"/>
      <c r="D956" s="570"/>
    </row>
    <row r="957" spans="2:4" hidden="1" outlineLevel="2" x14ac:dyDescent="0.3">
      <c r="B957" s="1132"/>
      <c r="C957" s="569"/>
      <c r="D957" s="570"/>
    </row>
    <row r="958" spans="2:4" hidden="1" outlineLevel="2" x14ac:dyDescent="0.3">
      <c r="B958" s="1132"/>
      <c r="C958" s="569"/>
      <c r="D958" s="570"/>
    </row>
    <row r="959" spans="2:4" hidden="1" outlineLevel="2" x14ac:dyDescent="0.3">
      <c r="B959" s="1132"/>
      <c r="C959" s="569"/>
      <c r="D959" s="570"/>
    </row>
    <row r="960" spans="2:4" hidden="1" outlineLevel="2" x14ac:dyDescent="0.3">
      <c r="B960" s="1132"/>
      <c r="C960" s="569"/>
      <c r="D960" s="570"/>
    </row>
    <row r="961" spans="2:4" hidden="1" outlineLevel="2" x14ac:dyDescent="0.3">
      <c r="B961" s="1132"/>
      <c r="C961" s="569"/>
      <c r="D961" s="570"/>
    </row>
    <row r="962" spans="2:4" hidden="1" outlineLevel="2" x14ac:dyDescent="0.3">
      <c r="B962" s="1132"/>
      <c r="C962" s="569"/>
      <c r="D962" s="570"/>
    </row>
    <row r="963" spans="2:4" hidden="1" outlineLevel="2" x14ac:dyDescent="0.3">
      <c r="B963" s="1132"/>
      <c r="C963" s="569"/>
      <c r="D963" s="570"/>
    </row>
    <row r="964" spans="2:4" hidden="1" outlineLevel="1" x14ac:dyDescent="0.3">
      <c r="B964" s="1132"/>
      <c r="C964" s="569"/>
      <c r="D964" s="570"/>
    </row>
    <row r="965" spans="2:4" hidden="1" outlineLevel="2" x14ac:dyDescent="0.3">
      <c r="B965" s="1132"/>
      <c r="C965" s="569"/>
      <c r="D965" s="570"/>
    </row>
    <row r="966" spans="2:4" hidden="1" outlineLevel="2" x14ac:dyDescent="0.3">
      <c r="B966" s="1132"/>
      <c r="C966" s="569"/>
      <c r="D966" s="570"/>
    </row>
    <row r="967" spans="2:4" hidden="1" outlineLevel="2" x14ac:dyDescent="0.3">
      <c r="B967" s="1132"/>
      <c r="C967" s="569"/>
      <c r="D967" s="570"/>
    </row>
    <row r="968" spans="2:4" hidden="1" outlineLevel="2" x14ac:dyDescent="0.3">
      <c r="B968" s="1132"/>
      <c r="C968" s="569"/>
      <c r="D968" s="570"/>
    </row>
    <row r="969" spans="2:4" hidden="1" outlineLevel="2" x14ac:dyDescent="0.3">
      <c r="B969" s="1132"/>
      <c r="C969" s="569"/>
      <c r="D969" s="570"/>
    </row>
    <row r="970" spans="2:4" hidden="1" outlineLevel="2" x14ac:dyDescent="0.3">
      <c r="B970" s="1132"/>
      <c r="C970" s="569"/>
      <c r="D970" s="570"/>
    </row>
    <row r="971" spans="2:4" hidden="1" outlineLevel="2" x14ac:dyDescent="0.3">
      <c r="B971" s="1132"/>
      <c r="C971" s="569"/>
      <c r="D971" s="570"/>
    </row>
    <row r="972" spans="2:4" hidden="1" outlineLevel="2" x14ac:dyDescent="0.3">
      <c r="B972" s="1132"/>
      <c r="C972" s="569"/>
      <c r="D972" s="570"/>
    </row>
    <row r="973" spans="2:4" hidden="1" outlineLevel="2" x14ac:dyDescent="0.3">
      <c r="B973" s="1132"/>
      <c r="C973" s="569"/>
      <c r="D973" s="570"/>
    </row>
    <row r="974" spans="2:4" hidden="1" outlineLevel="1" x14ac:dyDescent="0.3">
      <c r="B974" s="1132"/>
      <c r="C974" s="569"/>
      <c r="D974" s="570"/>
    </row>
    <row r="975" spans="2:4" hidden="1" outlineLevel="2" x14ac:dyDescent="0.3">
      <c r="B975" s="1132"/>
      <c r="C975" s="569"/>
      <c r="D975" s="570"/>
    </row>
    <row r="976" spans="2:4" hidden="1" outlineLevel="2" x14ac:dyDescent="0.3">
      <c r="B976" s="1132"/>
      <c r="C976" s="569"/>
      <c r="D976" s="570"/>
    </row>
    <row r="977" spans="2:4" hidden="1" outlineLevel="2" x14ac:dyDescent="0.3">
      <c r="B977" s="1132"/>
      <c r="C977" s="569"/>
      <c r="D977" s="570"/>
    </row>
    <row r="978" spans="2:4" hidden="1" outlineLevel="2" x14ac:dyDescent="0.3">
      <c r="B978" s="1132"/>
      <c r="C978" s="569"/>
      <c r="D978" s="570"/>
    </row>
    <row r="979" spans="2:4" hidden="1" outlineLevel="2" x14ac:dyDescent="0.3">
      <c r="B979" s="1132"/>
      <c r="C979" s="569"/>
      <c r="D979" s="570"/>
    </row>
    <row r="980" spans="2:4" hidden="1" outlineLevel="2" x14ac:dyDescent="0.3">
      <c r="B980" s="1132"/>
      <c r="C980" s="569"/>
      <c r="D980" s="570"/>
    </row>
    <row r="981" spans="2:4" hidden="1" outlineLevel="2" x14ac:dyDescent="0.3">
      <c r="B981" s="1132"/>
      <c r="C981" s="569"/>
      <c r="D981" s="570"/>
    </row>
    <row r="982" spans="2:4" hidden="1" outlineLevel="2" x14ac:dyDescent="0.3">
      <c r="B982" s="1132"/>
      <c r="C982" s="569"/>
      <c r="D982" s="570"/>
    </row>
    <row r="983" spans="2:4" hidden="1" outlineLevel="2" x14ac:dyDescent="0.3">
      <c r="B983" s="1132"/>
      <c r="C983" s="569"/>
      <c r="D983" s="570"/>
    </row>
    <row r="984" spans="2:4" hidden="1" outlineLevel="1" x14ac:dyDescent="0.3">
      <c r="B984" s="1132"/>
      <c r="C984" s="569"/>
      <c r="D984" s="570"/>
    </row>
    <row r="985" spans="2:4" hidden="1" outlineLevel="2" x14ac:dyDescent="0.3">
      <c r="B985" s="1132"/>
      <c r="C985" s="569"/>
      <c r="D985" s="570"/>
    </row>
    <row r="986" spans="2:4" hidden="1" outlineLevel="2" x14ac:dyDescent="0.3">
      <c r="B986" s="1132"/>
      <c r="C986" s="569"/>
      <c r="D986" s="570"/>
    </row>
    <row r="987" spans="2:4" hidden="1" outlineLevel="2" x14ac:dyDescent="0.3">
      <c r="B987" s="1132"/>
      <c r="C987" s="569"/>
      <c r="D987" s="570"/>
    </row>
    <row r="988" spans="2:4" hidden="1" outlineLevel="2" x14ac:dyDescent="0.3">
      <c r="B988" s="1132"/>
      <c r="C988" s="569"/>
      <c r="D988" s="570"/>
    </row>
    <row r="989" spans="2:4" hidden="1" outlineLevel="2" x14ac:dyDescent="0.3">
      <c r="B989" s="1132"/>
      <c r="C989" s="569"/>
      <c r="D989" s="570"/>
    </row>
    <row r="990" spans="2:4" hidden="1" outlineLevel="2" x14ac:dyDescent="0.3">
      <c r="B990" s="1132"/>
      <c r="C990" s="569"/>
      <c r="D990" s="570"/>
    </row>
    <row r="991" spans="2:4" hidden="1" outlineLevel="2" x14ac:dyDescent="0.3">
      <c r="B991" s="1132"/>
      <c r="C991" s="569"/>
      <c r="D991" s="570"/>
    </row>
    <row r="992" spans="2:4" hidden="1" outlineLevel="2" x14ac:dyDescent="0.3">
      <c r="B992" s="1132"/>
      <c r="C992" s="569"/>
      <c r="D992" s="570"/>
    </row>
    <row r="993" spans="2:4" hidden="1" outlineLevel="2" x14ac:dyDescent="0.3">
      <c r="B993" s="1132"/>
      <c r="C993" s="569"/>
      <c r="D993" s="570"/>
    </row>
    <row r="994" spans="2:4" hidden="1" outlineLevel="1" x14ac:dyDescent="0.3">
      <c r="B994" s="1132"/>
      <c r="C994" s="569"/>
      <c r="D994" s="570"/>
    </row>
    <row r="995" spans="2:4" hidden="1" outlineLevel="2" x14ac:dyDescent="0.3">
      <c r="B995" s="1132"/>
      <c r="C995" s="569"/>
      <c r="D995" s="570"/>
    </row>
    <row r="996" spans="2:4" hidden="1" outlineLevel="2" x14ac:dyDescent="0.3">
      <c r="B996" s="1132"/>
      <c r="C996" s="569"/>
      <c r="D996" s="570"/>
    </row>
    <row r="997" spans="2:4" hidden="1" outlineLevel="2" x14ac:dyDescent="0.3">
      <c r="B997" s="1132"/>
      <c r="C997" s="569"/>
      <c r="D997" s="570"/>
    </row>
    <row r="998" spans="2:4" hidden="1" outlineLevel="2" x14ac:dyDescent="0.3">
      <c r="B998" s="1132"/>
      <c r="C998" s="569"/>
      <c r="D998" s="570"/>
    </row>
    <row r="999" spans="2:4" hidden="1" outlineLevel="2" x14ac:dyDescent="0.3">
      <c r="B999" s="1132"/>
      <c r="C999" s="569"/>
      <c r="D999" s="570"/>
    </row>
    <row r="1000" spans="2:4" hidden="1" outlineLevel="2" x14ac:dyDescent="0.3">
      <c r="B1000" s="1132"/>
      <c r="C1000" s="569"/>
      <c r="D1000" s="570"/>
    </row>
    <row r="1001" spans="2:4" hidden="1" outlineLevel="2" x14ac:dyDescent="0.3">
      <c r="B1001" s="1132"/>
      <c r="C1001" s="569"/>
      <c r="D1001" s="570"/>
    </row>
    <row r="1002" spans="2:4" hidden="1" outlineLevel="2" x14ac:dyDescent="0.3">
      <c r="B1002" s="1132"/>
      <c r="C1002" s="569"/>
      <c r="D1002" s="570"/>
    </row>
    <row r="1003" spans="2:4" hidden="1" outlineLevel="2" x14ac:dyDescent="0.3">
      <c r="B1003" s="1132"/>
      <c r="C1003" s="569"/>
      <c r="D1003" s="570"/>
    </row>
    <row r="1004" spans="2:4" hidden="1" outlineLevel="1" x14ac:dyDescent="0.3">
      <c r="B1004" s="1132"/>
      <c r="C1004" s="569"/>
      <c r="D1004" s="570"/>
    </row>
    <row r="1005" spans="2:4" hidden="1" outlineLevel="2" x14ac:dyDescent="0.3">
      <c r="B1005" s="1132"/>
      <c r="C1005" s="569"/>
      <c r="D1005" s="570"/>
    </row>
    <row r="1006" spans="2:4" hidden="1" outlineLevel="2" x14ac:dyDescent="0.3">
      <c r="B1006" s="1132"/>
      <c r="C1006" s="569"/>
      <c r="D1006" s="570"/>
    </row>
    <row r="1007" spans="2:4" hidden="1" outlineLevel="2" x14ac:dyDescent="0.3">
      <c r="B1007" s="1132"/>
      <c r="C1007" s="569"/>
      <c r="D1007" s="570"/>
    </row>
    <row r="1008" spans="2:4" hidden="1" outlineLevel="2" x14ac:dyDescent="0.3">
      <c r="B1008" s="1132"/>
      <c r="C1008" s="569"/>
      <c r="D1008" s="570"/>
    </row>
    <row r="1009" spans="2:4" hidden="1" outlineLevel="2" x14ac:dyDescent="0.3">
      <c r="B1009" s="1132"/>
      <c r="C1009" s="569"/>
      <c r="D1009" s="570"/>
    </row>
    <row r="1010" spans="2:4" hidden="1" outlineLevel="2" x14ac:dyDescent="0.3">
      <c r="B1010" s="1132"/>
      <c r="C1010" s="569"/>
      <c r="D1010" s="570"/>
    </row>
    <row r="1011" spans="2:4" hidden="1" outlineLevel="2" x14ac:dyDescent="0.3">
      <c r="B1011" s="1132"/>
      <c r="C1011" s="569"/>
      <c r="D1011" s="570"/>
    </row>
    <row r="1012" spans="2:4" hidden="1" outlineLevel="2" x14ac:dyDescent="0.3">
      <c r="B1012" s="1132"/>
      <c r="C1012" s="569"/>
      <c r="D1012" s="570"/>
    </row>
    <row r="1013" spans="2:4" hidden="1" outlineLevel="2" x14ac:dyDescent="0.3">
      <c r="B1013" s="1132"/>
      <c r="C1013" s="569"/>
      <c r="D1013" s="570"/>
    </row>
    <row r="1014" spans="2:4" hidden="1" outlineLevel="1" x14ac:dyDescent="0.3">
      <c r="B1014" s="1132"/>
      <c r="C1014" s="569"/>
      <c r="D1014" s="570"/>
    </row>
    <row r="1015" spans="2:4" hidden="1" outlineLevel="2" x14ac:dyDescent="0.3">
      <c r="B1015" s="1132"/>
      <c r="C1015" s="569"/>
      <c r="D1015" s="570"/>
    </row>
    <row r="1016" spans="2:4" hidden="1" outlineLevel="2" x14ac:dyDescent="0.3">
      <c r="B1016" s="1132"/>
      <c r="C1016" s="569"/>
      <c r="D1016" s="570"/>
    </row>
    <row r="1017" spans="2:4" hidden="1" outlineLevel="2" x14ac:dyDescent="0.3">
      <c r="B1017" s="1132"/>
      <c r="C1017" s="569"/>
      <c r="D1017" s="570"/>
    </row>
    <row r="1018" spans="2:4" hidden="1" outlineLevel="2" x14ac:dyDescent="0.3">
      <c r="B1018" s="1132"/>
      <c r="C1018" s="569"/>
      <c r="D1018" s="570"/>
    </row>
    <row r="1019" spans="2:4" hidden="1" outlineLevel="2" x14ac:dyDescent="0.3">
      <c r="B1019" s="1132"/>
      <c r="C1019" s="569"/>
      <c r="D1019" s="570"/>
    </row>
    <row r="1020" spans="2:4" hidden="1" outlineLevel="2" x14ac:dyDescent="0.3">
      <c r="B1020" s="1132"/>
      <c r="C1020" s="569"/>
      <c r="D1020" s="570"/>
    </row>
    <row r="1021" spans="2:4" hidden="1" outlineLevel="2" x14ac:dyDescent="0.3">
      <c r="B1021" s="1132"/>
      <c r="C1021" s="569"/>
      <c r="D1021" s="570"/>
    </row>
    <row r="1022" spans="2:4" hidden="1" outlineLevel="2" x14ac:dyDescent="0.3">
      <c r="B1022" s="1132"/>
      <c r="C1022" s="569"/>
      <c r="D1022" s="570"/>
    </row>
    <row r="1023" spans="2:4" hidden="1" outlineLevel="2" x14ac:dyDescent="0.3">
      <c r="B1023" s="1132"/>
      <c r="C1023" s="569"/>
      <c r="D1023" s="570"/>
    </row>
    <row r="1024" spans="2:4" hidden="1" outlineLevel="1" x14ac:dyDescent="0.3">
      <c r="B1024" s="1132"/>
      <c r="C1024" s="569"/>
      <c r="D1024" s="570"/>
    </row>
    <row r="1025" spans="2:4" hidden="1" outlineLevel="2" x14ac:dyDescent="0.3">
      <c r="B1025" s="1132"/>
      <c r="C1025" s="569"/>
      <c r="D1025" s="570"/>
    </row>
    <row r="1026" spans="2:4" hidden="1" outlineLevel="2" x14ac:dyDescent="0.3">
      <c r="B1026" s="1132"/>
      <c r="C1026" s="569"/>
      <c r="D1026" s="570"/>
    </row>
    <row r="1027" spans="2:4" hidden="1" outlineLevel="2" x14ac:dyDescent="0.3">
      <c r="B1027" s="1132"/>
      <c r="C1027" s="569"/>
      <c r="D1027" s="570"/>
    </row>
    <row r="1028" spans="2:4" hidden="1" outlineLevel="2" x14ac:dyDescent="0.3">
      <c r="B1028" s="1132"/>
      <c r="C1028" s="569"/>
      <c r="D1028" s="570"/>
    </row>
    <row r="1029" spans="2:4" hidden="1" outlineLevel="2" x14ac:dyDescent="0.3">
      <c r="B1029" s="1132"/>
      <c r="C1029" s="569"/>
      <c r="D1029" s="570"/>
    </row>
    <row r="1030" spans="2:4" hidden="1" outlineLevel="2" x14ac:dyDescent="0.3">
      <c r="B1030" s="1132"/>
      <c r="C1030" s="569"/>
      <c r="D1030" s="570"/>
    </row>
    <row r="1031" spans="2:4" hidden="1" outlineLevel="2" x14ac:dyDescent="0.3">
      <c r="B1031" s="1132"/>
      <c r="C1031" s="569"/>
      <c r="D1031" s="570"/>
    </row>
    <row r="1032" spans="2:4" hidden="1" outlineLevel="2" x14ac:dyDescent="0.3">
      <c r="B1032" s="1132"/>
      <c r="C1032" s="569"/>
      <c r="D1032" s="570"/>
    </row>
    <row r="1033" spans="2:4" hidden="1" outlineLevel="2" x14ac:dyDescent="0.3">
      <c r="B1033" s="1132"/>
      <c r="C1033" s="569"/>
      <c r="D1033" s="570"/>
    </row>
    <row r="1034" spans="2:4" hidden="1" outlineLevel="1" x14ac:dyDescent="0.3">
      <c r="B1034" s="1132"/>
      <c r="C1034" s="569"/>
      <c r="D1034" s="570"/>
    </row>
    <row r="1035" spans="2:4" hidden="1" outlineLevel="2" x14ac:dyDescent="0.3">
      <c r="B1035" s="1132"/>
      <c r="C1035" s="569"/>
      <c r="D1035" s="570"/>
    </row>
    <row r="1036" spans="2:4" hidden="1" outlineLevel="2" x14ac:dyDescent="0.3">
      <c r="B1036" s="1132"/>
      <c r="C1036" s="569"/>
      <c r="D1036" s="570"/>
    </row>
    <row r="1037" spans="2:4" hidden="1" outlineLevel="2" x14ac:dyDescent="0.3">
      <c r="B1037" s="1132"/>
      <c r="C1037" s="569"/>
      <c r="D1037" s="570"/>
    </row>
    <row r="1038" spans="2:4" hidden="1" outlineLevel="2" x14ac:dyDescent="0.3">
      <c r="B1038" s="1132"/>
      <c r="C1038" s="569"/>
      <c r="D1038" s="570"/>
    </row>
    <row r="1039" spans="2:4" hidden="1" outlineLevel="2" x14ac:dyDescent="0.3">
      <c r="B1039" s="1132"/>
      <c r="C1039" s="569"/>
      <c r="D1039" s="570"/>
    </row>
    <row r="1040" spans="2:4" hidden="1" outlineLevel="2" x14ac:dyDescent="0.3">
      <c r="B1040" s="1132"/>
      <c r="C1040" s="569"/>
      <c r="D1040" s="570"/>
    </row>
    <row r="1041" spans="2:4" hidden="1" outlineLevel="2" x14ac:dyDescent="0.3">
      <c r="B1041" s="1132"/>
      <c r="C1041" s="569"/>
      <c r="D1041" s="570"/>
    </row>
    <row r="1042" spans="2:4" hidden="1" outlineLevel="2" x14ac:dyDescent="0.3">
      <c r="B1042" s="1132"/>
      <c r="C1042" s="569"/>
      <c r="D1042" s="570"/>
    </row>
    <row r="1043" spans="2:4" hidden="1" outlineLevel="2" x14ac:dyDescent="0.3">
      <c r="B1043" s="1132"/>
      <c r="C1043" s="569"/>
      <c r="D1043" s="570"/>
    </row>
    <row r="1044" spans="2:4" hidden="1" outlineLevel="1" x14ac:dyDescent="0.3">
      <c r="B1044" s="1132"/>
      <c r="C1044" s="569"/>
      <c r="D1044" s="570"/>
    </row>
    <row r="1045" spans="2:4" hidden="1" outlineLevel="2" x14ac:dyDescent="0.3">
      <c r="B1045" s="1132"/>
      <c r="C1045" s="569"/>
      <c r="D1045" s="570"/>
    </row>
    <row r="1046" spans="2:4" hidden="1" outlineLevel="2" x14ac:dyDescent="0.3">
      <c r="B1046" s="1132"/>
      <c r="C1046" s="569"/>
      <c r="D1046" s="570"/>
    </row>
    <row r="1047" spans="2:4" hidden="1" outlineLevel="2" x14ac:dyDescent="0.3">
      <c r="B1047" s="1132"/>
      <c r="C1047" s="569"/>
      <c r="D1047" s="570"/>
    </row>
    <row r="1048" spans="2:4" hidden="1" outlineLevel="2" x14ac:dyDescent="0.3">
      <c r="B1048" s="1132"/>
      <c r="C1048" s="569"/>
      <c r="D1048" s="570"/>
    </row>
    <row r="1049" spans="2:4" hidden="1" outlineLevel="2" x14ac:dyDescent="0.3">
      <c r="B1049" s="1132"/>
      <c r="C1049" s="569"/>
      <c r="D1049" s="570"/>
    </row>
    <row r="1050" spans="2:4" hidden="1" outlineLevel="2" x14ac:dyDescent="0.3">
      <c r="B1050" s="1132"/>
      <c r="C1050" s="569"/>
      <c r="D1050" s="570"/>
    </row>
    <row r="1051" spans="2:4" hidden="1" outlineLevel="2" x14ac:dyDescent="0.3">
      <c r="B1051" s="1132"/>
      <c r="C1051" s="569"/>
      <c r="D1051" s="570"/>
    </row>
    <row r="1052" spans="2:4" hidden="1" outlineLevel="2" x14ac:dyDescent="0.3">
      <c r="B1052" s="1132"/>
      <c r="C1052" s="569"/>
      <c r="D1052" s="570"/>
    </row>
    <row r="1053" spans="2:4" hidden="1" outlineLevel="2" x14ac:dyDescent="0.3">
      <c r="B1053" s="1132"/>
      <c r="C1053" s="569"/>
      <c r="D1053" s="570"/>
    </row>
    <row r="1054" spans="2:4" hidden="1" outlineLevel="1" x14ac:dyDescent="0.3">
      <c r="B1054" s="1132"/>
      <c r="C1054" s="569"/>
      <c r="D1054" s="570"/>
    </row>
    <row r="1055" spans="2:4" hidden="1" outlineLevel="2" x14ac:dyDescent="0.3">
      <c r="B1055" s="1132"/>
      <c r="C1055" s="569"/>
      <c r="D1055" s="570"/>
    </row>
    <row r="1056" spans="2:4" hidden="1" outlineLevel="2" x14ac:dyDescent="0.3">
      <c r="B1056" s="1132"/>
      <c r="C1056" s="569"/>
      <c r="D1056" s="570"/>
    </row>
    <row r="1057" spans="2:4" hidden="1" outlineLevel="2" x14ac:dyDescent="0.3">
      <c r="B1057" s="1132"/>
      <c r="C1057" s="569"/>
      <c r="D1057" s="570"/>
    </row>
    <row r="1058" spans="2:4" hidden="1" outlineLevel="2" x14ac:dyDescent="0.3">
      <c r="B1058" s="1132"/>
      <c r="C1058" s="569"/>
      <c r="D1058" s="570"/>
    </row>
    <row r="1059" spans="2:4" hidden="1" outlineLevel="2" x14ac:dyDescent="0.3">
      <c r="B1059" s="1132"/>
      <c r="C1059" s="569"/>
      <c r="D1059" s="570"/>
    </row>
    <row r="1060" spans="2:4" hidden="1" outlineLevel="2" x14ac:dyDescent="0.3">
      <c r="B1060" s="1132"/>
      <c r="C1060" s="569"/>
      <c r="D1060" s="570"/>
    </row>
    <row r="1061" spans="2:4" hidden="1" outlineLevel="2" x14ac:dyDescent="0.3">
      <c r="B1061" s="1132"/>
      <c r="C1061" s="569"/>
      <c r="D1061" s="570"/>
    </row>
    <row r="1062" spans="2:4" hidden="1" outlineLevel="2" x14ac:dyDescent="0.3">
      <c r="B1062" s="1132"/>
      <c r="C1062" s="569"/>
      <c r="D1062" s="570"/>
    </row>
    <row r="1063" spans="2:4" hidden="1" outlineLevel="2" x14ac:dyDescent="0.3">
      <c r="B1063" s="1132"/>
      <c r="C1063" s="569"/>
      <c r="D1063" s="570"/>
    </row>
    <row r="1064" spans="2:4" hidden="1" outlineLevel="1" x14ac:dyDescent="0.3">
      <c r="B1064" s="1132"/>
      <c r="C1064" s="569"/>
      <c r="D1064" s="570"/>
    </row>
    <row r="1065" spans="2:4" hidden="1" outlineLevel="2" x14ac:dyDescent="0.3">
      <c r="B1065" s="1132"/>
      <c r="C1065" s="569"/>
      <c r="D1065" s="570"/>
    </row>
    <row r="1066" spans="2:4" hidden="1" outlineLevel="2" x14ac:dyDescent="0.3">
      <c r="B1066" s="1132"/>
      <c r="C1066" s="569"/>
      <c r="D1066" s="570"/>
    </row>
    <row r="1067" spans="2:4" hidden="1" outlineLevel="2" x14ac:dyDescent="0.3">
      <c r="B1067" s="1132"/>
      <c r="C1067" s="569"/>
      <c r="D1067" s="570"/>
    </row>
    <row r="1068" spans="2:4" hidden="1" outlineLevel="2" x14ac:dyDescent="0.3">
      <c r="B1068" s="1132"/>
      <c r="C1068" s="569"/>
      <c r="D1068" s="570"/>
    </row>
    <row r="1069" spans="2:4" hidden="1" outlineLevel="2" x14ac:dyDescent="0.3">
      <c r="B1069" s="1132"/>
      <c r="C1069" s="569"/>
      <c r="D1069" s="570"/>
    </row>
    <row r="1070" spans="2:4" hidden="1" outlineLevel="2" x14ac:dyDescent="0.3">
      <c r="B1070" s="1132"/>
      <c r="C1070" s="569"/>
      <c r="D1070" s="570"/>
    </row>
    <row r="1071" spans="2:4" hidden="1" outlineLevel="2" x14ac:dyDescent="0.3">
      <c r="B1071" s="1132"/>
      <c r="C1071" s="569"/>
      <c r="D1071" s="570"/>
    </row>
    <row r="1072" spans="2:4" hidden="1" outlineLevel="2" x14ac:dyDescent="0.3">
      <c r="B1072" s="1132"/>
      <c r="C1072" s="569"/>
      <c r="D1072" s="570"/>
    </row>
    <row r="1073" spans="2:4" hidden="1" outlineLevel="2" x14ac:dyDescent="0.3">
      <c r="B1073" s="1132"/>
      <c r="C1073" s="569"/>
      <c r="D1073" s="570"/>
    </row>
    <row r="1074" spans="2:4" hidden="1" outlineLevel="1" x14ac:dyDescent="0.3">
      <c r="B1074" s="1132"/>
      <c r="C1074" s="569"/>
      <c r="D1074" s="570"/>
    </row>
    <row r="1075" spans="2:4" hidden="1" outlineLevel="2" x14ac:dyDescent="0.3">
      <c r="B1075" s="1132"/>
      <c r="C1075" s="569"/>
      <c r="D1075" s="570"/>
    </row>
    <row r="1076" spans="2:4" hidden="1" outlineLevel="2" x14ac:dyDescent="0.3">
      <c r="B1076" s="1132"/>
      <c r="C1076" s="569"/>
      <c r="D1076" s="570"/>
    </row>
    <row r="1077" spans="2:4" hidden="1" outlineLevel="2" x14ac:dyDescent="0.3">
      <c r="B1077" s="1132"/>
      <c r="C1077" s="569"/>
      <c r="D1077" s="570"/>
    </row>
    <row r="1078" spans="2:4" hidden="1" outlineLevel="2" x14ac:dyDescent="0.3">
      <c r="B1078" s="1132"/>
      <c r="C1078" s="569"/>
      <c r="D1078" s="570"/>
    </row>
    <row r="1079" spans="2:4" hidden="1" outlineLevel="2" x14ac:dyDescent="0.3">
      <c r="B1079" s="1132"/>
      <c r="C1079" s="569"/>
      <c r="D1079" s="570"/>
    </row>
    <row r="1080" spans="2:4" hidden="1" outlineLevel="2" x14ac:dyDescent="0.3">
      <c r="B1080" s="1132"/>
      <c r="C1080" s="569"/>
      <c r="D1080" s="570"/>
    </row>
    <row r="1081" spans="2:4" hidden="1" outlineLevel="2" x14ac:dyDescent="0.3">
      <c r="B1081" s="1132"/>
      <c r="C1081" s="569"/>
      <c r="D1081" s="570"/>
    </row>
    <row r="1082" spans="2:4" hidden="1" outlineLevel="2" x14ac:dyDescent="0.3">
      <c r="B1082" s="1132"/>
      <c r="C1082" s="569"/>
      <c r="D1082" s="570"/>
    </row>
    <row r="1083" spans="2:4" hidden="1" outlineLevel="2" x14ac:dyDescent="0.3">
      <c r="B1083" s="1132"/>
      <c r="C1083" s="569"/>
      <c r="D1083" s="570"/>
    </row>
    <row r="1084" spans="2:4" hidden="1" outlineLevel="1" x14ac:dyDescent="0.3">
      <c r="B1084" s="1132"/>
      <c r="C1084" s="569"/>
      <c r="D1084" s="570"/>
    </row>
    <row r="1085" spans="2:4" hidden="1" outlineLevel="2" x14ac:dyDescent="0.3">
      <c r="B1085" s="1132"/>
      <c r="C1085" s="569"/>
      <c r="D1085" s="570"/>
    </row>
    <row r="1086" spans="2:4" hidden="1" outlineLevel="2" x14ac:dyDescent="0.3">
      <c r="B1086" s="1132"/>
      <c r="C1086" s="569"/>
      <c r="D1086" s="570"/>
    </row>
    <row r="1087" spans="2:4" hidden="1" outlineLevel="2" x14ac:dyDescent="0.3">
      <c r="B1087" s="1132"/>
      <c r="C1087" s="569"/>
      <c r="D1087" s="570"/>
    </row>
    <row r="1088" spans="2:4" hidden="1" outlineLevel="2" x14ac:dyDescent="0.3">
      <c r="B1088" s="1132"/>
      <c r="C1088" s="569"/>
      <c r="D1088" s="570"/>
    </row>
    <row r="1089" spans="2:4" hidden="1" outlineLevel="2" x14ac:dyDescent="0.3">
      <c r="B1089" s="1132"/>
      <c r="C1089" s="569"/>
      <c r="D1089" s="570"/>
    </row>
    <row r="1090" spans="2:4" hidden="1" outlineLevel="2" x14ac:dyDescent="0.3">
      <c r="B1090" s="1132"/>
      <c r="C1090" s="569"/>
      <c r="D1090" s="570"/>
    </row>
    <row r="1091" spans="2:4" hidden="1" outlineLevel="2" x14ac:dyDescent="0.3">
      <c r="B1091" s="1132"/>
      <c r="C1091" s="569"/>
      <c r="D1091" s="570"/>
    </row>
    <row r="1092" spans="2:4" hidden="1" outlineLevel="2" x14ac:dyDescent="0.3">
      <c r="B1092" s="1132"/>
      <c r="C1092" s="569"/>
      <c r="D1092" s="570"/>
    </row>
    <row r="1093" spans="2:4" hidden="1" outlineLevel="2" x14ac:dyDescent="0.3">
      <c r="B1093" s="1132"/>
      <c r="C1093" s="569"/>
      <c r="D1093" s="570"/>
    </row>
    <row r="1094" spans="2:4" hidden="1" outlineLevel="1" x14ac:dyDescent="0.3">
      <c r="B1094" s="1132"/>
      <c r="C1094" s="569"/>
      <c r="D1094" s="570"/>
    </row>
    <row r="1095" spans="2:4" hidden="1" outlineLevel="2" x14ac:dyDescent="0.3">
      <c r="B1095" s="1132"/>
      <c r="C1095" s="569"/>
      <c r="D1095" s="570"/>
    </row>
    <row r="1096" spans="2:4" hidden="1" outlineLevel="2" x14ac:dyDescent="0.3">
      <c r="B1096" s="1132"/>
      <c r="C1096" s="569"/>
      <c r="D1096" s="570"/>
    </row>
    <row r="1097" spans="2:4" hidden="1" outlineLevel="2" x14ac:dyDescent="0.3">
      <c r="B1097" s="1132"/>
      <c r="C1097" s="569"/>
      <c r="D1097" s="570"/>
    </row>
    <row r="1098" spans="2:4" hidden="1" outlineLevel="2" x14ac:dyDescent="0.3">
      <c r="B1098" s="1132"/>
      <c r="C1098" s="569"/>
      <c r="D1098" s="570"/>
    </row>
    <row r="1099" spans="2:4" hidden="1" outlineLevel="2" x14ac:dyDescent="0.3">
      <c r="B1099" s="1132"/>
      <c r="C1099" s="569"/>
      <c r="D1099" s="570"/>
    </row>
    <row r="1100" spans="2:4" hidden="1" outlineLevel="2" x14ac:dyDescent="0.3">
      <c r="B1100" s="1132"/>
      <c r="C1100" s="569"/>
      <c r="D1100" s="570"/>
    </row>
    <row r="1101" spans="2:4" hidden="1" outlineLevel="2" x14ac:dyDescent="0.3">
      <c r="B1101" s="1132"/>
      <c r="C1101" s="569"/>
      <c r="D1101" s="570"/>
    </row>
    <row r="1102" spans="2:4" hidden="1" outlineLevel="2" x14ac:dyDescent="0.3">
      <c r="B1102" s="1132"/>
      <c r="C1102" s="569"/>
      <c r="D1102" s="570"/>
    </row>
    <row r="1103" spans="2:4" hidden="1" outlineLevel="2" x14ac:dyDescent="0.3">
      <c r="B1103" s="1132"/>
      <c r="C1103" s="569"/>
      <c r="D1103" s="570"/>
    </row>
    <row r="1104" spans="2:4" hidden="1" outlineLevel="1" x14ac:dyDescent="0.3">
      <c r="B1104" s="1132"/>
      <c r="C1104" s="569"/>
      <c r="D1104" s="570"/>
    </row>
    <row r="1105" spans="2:4" hidden="1" outlineLevel="2" x14ac:dyDescent="0.3">
      <c r="B1105" s="1132"/>
      <c r="C1105" s="569"/>
      <c r="D1105" s="570"/>
    </row>
    <row r="1106" spans="2:4" hidden="1" outlineLevel="2" x14ac:dyDescent="0.3">
      <c r="B1106" s="1132"/>
      <c r="C1106" s="569"/>
      <c r="D1106" s="570"/>
    </row>
    <row r="1107" spans="2:4" hidden="1" outlineLevel="2" x14ac:dyDescent="0.3">
      <c r="B1107" s="1132"/>
      <c r="C1107" s="569"/>
      <c r="D1107" s="570"/>
    </row>
    <row r="1108" spans="2:4" hidden="1" outlineLevel="2" x14ac:dyDescent="0.3">
      <c r="B1108" s="1132"/>
      <c r="C1108" s="569"/>
      <c r="D1108" s="570"/>
    </row>
    <row r="1109" spans="2:4" hidden="1" outlineLevel="2" x14ac:dyDescent="0.3">
      <c r="B1109" s="1132"/>
      <c r="C1109" s="569"/>
      <c r="D1109" s="570"/>
    </row>
    <row r="1110" spans="2:4" hidden="1" outlineLevel="2" x14ac:dyDescent="0.3">
      <c r="B1110" s="1132"/>
      <c r="C1110" s="569"/>
      <c r="D1110" s="570"/>
    </row>
    <row r="1111" spans="2:4" hidden="1" outlineLevel="2" x14ac:dyDescent="0.3">
      <c r="B1111" s="1132"/>
      <c r="C1111" s="569"/>
      <c r="D1111" s="570"/>
    </row>
    <row r="1112" spans="2:4" hidden="1" outlineLevel="2" x14ac:dyDescent="0.3">
      <c r="B1112" s="1132"/>
      <c r="C1112" s="569"/>
      <c r="D1112" s="570"/>
    </row>
    <row r="1113" spans="2:4" hidden="1" outlineLevel="2" x14ac:dyDescent="0.3">
      <c r="B1113" s="1132"/>
      <c r="C1113" s="569"/>
      <c r="D1113" s="570"/>
    </row>
    <row r="1114" spans="2:4" hidden="1" outlineLevel="1" x14ac:dyDescent="0.3">
      <c r="B1114" s="1132"/>
      <c r="C1114" s="569"/>
      <c r="D1114" s="570"/>
    </row>
    <row r="1115" spans="2:4" hidden="1" outlineLevel="2" x14ac:dyDescent="0.3">
      <c r="B1115" s="1132"/>
      <c r="C1115" s="569"/>
      <c r="D1115" s="570"/>
    </row>
    <row r="1116" spans="2:4" hidden="1" outlineLevel="2" x14ac:dyDescent="0.3">
      <c r="B1116" s="1132"/>
      <c r="C1116" s="569"/>
      <c r="D1116" s="570"/>
    </row>
    <row r="1117" spans="2:4" hidden="1" outlineLevel="2" x14ac:dyDescent="0.3">
      <c r="B1117" s="1132"/>
      <c r="C1117" s="569"/>
      <c r="D1117" s="570"/>
    </row>
    <row r="1118" spans="2:4" hidden="1" outlineLevel="2" x14ac:dyDescent="0.3">
      <c r="B1118" s="1132"/>
      <c r="C1118" s="569"/>
      <c r="D1118" s="570"/>
    </row>
    <row r="1119" spans="2:4" hidden="1" outlineLevel="2" x14ac:dyDescent="0.3">
      <c r="B1119" s="1132"/>
      <c r="C1119" s="569"/>
      <c r="D1119" s="570"/>
    </row>
    <row r="1120" spans="2:4" hidden="1" outlineLevel="2" x14ac:dyDescent="0.3">
      <c r="B1120" s="1132"/>
      <c r="C1120" s="569"/>
      <c r="D1120" s="570"/>
    </row>
    <row r="1121" spans="2:4" hidden="1" outlineLevel="2" x14ac:dyDescent="0.3">
      <c r="B1121" s="1132"/>
      <c r="C1121" s="569"/>
      <c r="D1121" s="570"/>
    </row>
    <row r="1122" spans="2:4" hidden="1" outlineLevel="2" x14ac:dyDescent="0.3">
      <c r="B1122" s="1132"/>
      <c r="C1122" s="569"/>
      <c r="D1122" s="570"/>
    </row>
    <row r="1123" spans="2:4" hidden="1" outlineLevel="2" x14ac:dyDescent="0.3">
      <c r="B1123" s="1132"/>
      <c r="C1123" s="569"/>
      <c r="D1123" s="570"/>
    </row>
    <row r="1124" spans="2:4" hidden="1" outlineLevel="1" x14ac:dyDescent="0.3">
      <c r="B1124" s="1132"/>
      <c r="C1124" s="569"/>
      <c r="D1124" s="570"/>
    </row>
    <row r="1125" spans="2:4" hidden="1" outlineLevel="2" x14ac:dyDescent="0.3">
      <c r="B1125" s="1132"/>
      <c r="C1125" s="569"/>
      <c r="D1125" s="570"/>
    </row>
    <row r="1126" spans="2:4" hidden="1" outlineLevel="2" x14ac:dyDescent="0.3">
      <c r="B1126" s="1132"/>
      <c r="C1126" s="569"/>
      <c r="D1126" s="570"/>
    </row>
    <row r="1127" spans="2:4" hidden="1" outlineLevel="2" x14ac:dyDescent="0.3">
      <c r="B1127" s="1132"/>
      <c r="C1127" s="569"/>
      <c r="D1127" s="570"/>
    </row>
    <row r="1128" spans="2:4" hidden="1" outlineLevel="2" x14ac:dyDescent="0.3">
      <c r="B1128" s="1132"/>
      <c r="C1128" s="569"/>
      <c r="D1128" s="570"/>
    </row>
    <row r="1129" spans="2:4" hidden="1" outlineLevel="2" x14ac:dyDescent="0.3">
      <c r="B1129" s="1132"/>
      <c r="C1129" s="569"/>
      <c r="D1129" s="570"/>
    </row>
    <row r="1130" spans="2:4" hidden="1" outlineLevel="2" x14ac:dyDescent="0.3">
      <c r="B1130" s="1132"/>
      <c r="C1130" s="569"/>
      <c r="D1130" s="570"/>
    </row>
    <row r="1131" spans="2:4" hidden="1" outlineLevel="2" x14ac:dyDescent="0.3">
      <c r="B1131" s="1132"/>
      <c r="C1131" s="569"/>
      <c r="D1131" s="570"/>
    </row>
    <row r="1132" spans="2:4" hidden="1" outlineLevel="2" x14ac:dyDescent="0.3">
      <c r="B1132" s="1132"/>
      <c r="C1132" s="569"/>
      <c r="D1132" s="570"/>
    </row>
    <row r="1133" spans="2:4" hidden="1" outlineLevel="2" x14ac:dyDescent="0.3">
      <c r="B1133" s="1132"/>
      <c r="C1133" s="569"/>
      <c r="D1133" s="570"/>
    </row>
    <row r="1134" spans="2:4" hidden="1" outlineLevel="1" x14ac:dyDescent="0.3">
      <c r="B1134" s="1132"/>
      <c r="C1134" s="569"/>
      <c r="D1134" s="570"/>
    </row>
    <row r="1135" spans="2:4" hidden="1" outlineLevel="2" x14ac:dyDescent="0.3">
      <c r="B1135" s="1132"/>
      <c r="C1135" s="569"/>
      <c r="D1135" s="570"/>
    </row>
    <row r="1136" spans="2:4" hidden="1" outlineLevel="2" x14ac:dyDescent="0.3">
      <c r="B1136" s="1132"/>
      <c r="C1136" s="569"/>
      <c r="D1136" s="570"/>
    </row>
    <row r="1137" spans="2:4" hidden="1" outlineLevel="2" x14ac:dyDescent="0.3">
      <c r="B1137" s="1132"/>
      <c r="C1137" s="569"/>
      <c r="D1137" s="570"/>
    </row>
    <row r="1138" spans="2:4" hidden="1" outlineLevel="2" x14ac:dyDescent="0.3">
      <c r="B1138" s="1132"/>
      <c r="C1138" s="569"/>
      <c r="D1138" s="570"/>
    </row>
    <row r="1139" spans="2:4" hidden="1" outlineLevel="2" x14ac:dyDescent="0.3">
      <c r="B1139" s="1132"/>
      <c r="C1139" s="569"/>
      <c r="D1139" s="570"/>
    </row>
    <row r="1140" spans="2:4" hidden="1" outlineLevel="2" x14ac:dyDescent="0.3">
      <c r="B1140" s="1132"/>
      <c r="C1140" s="569"/>
      <c r="D1140" s="570"/>
    </row>
    <row r="1141" spans="2:4" hidden="1" outlineLevel="2" x14ac:dyDescent="0.3">
      <c r="B1141" s="1132"/>
      <c r="C1141" s="569"/>
      <c r="D1141" s="570"/>
    </row>
    <row r="1142" spans="2:4" hidden="1" outlineLevel="2" x14ac:dyDescent="0.3">
      <c r="B1142" s="1132"/>
      <c r="C1142" s="569"/>
      <c r="D1142" s="570"/>
    </row>
    <row r="1143" spans="2:4" hidden="1" outlineLevel="2" x14ac:dyDescent="0.3">
      <c r="B1143" s="1132"/>
      <c r="C1143" s="569"/>
      <c r="D1143" s="570"/>
    </row>
    <row r="1144" spans="2:4" hidden="1" outlineLevel="1" x14ac:dyDescent="0.3">
      <c r="B1144" s="1132"/>
      <c r="C1144" s="569"/>
      <c r="D1144" s="570"/>
    </row>
    <row r="1145" spans="2:4" hidden="1" outlineLevel="2" x14ac:dyDescent="0.3">
      <c r="B1145" s="1132"/>
      <c r="C1145" s="569"/>
      <c r="D1145" s="570"/>
    </row>
    <row r="1146" spans="2:4" hidden="1" outlineLevel="2" x14ac:dyDescent="0.3">
      <c r="B1146" s="1132"/>
      <c r="C1146" s="569"/>
      <c r="D1146" s="570"/>
    </row>
    <row r="1147" spans="2:4" hidden="1" outlineLevel="2" x14ac:dyDescent="0.3">
      <c r="B1147" s="1132"/>
      <c r="C1147" s="569"/>
      <c r="D1147" s="570"/>
    </row>
    <row r="1148" spans="2:4" hidden="1" outlineLevel="2" x14ac:dyDescent="0.3">
      <c r="B1148" s="1132"/>
      <c r="C1148" s="569"/>
      <c r="D1148" s="570"/>
    </row>
    <row r="1149" spans="2:4" hidden="1" outlineLevel="2" x14ac:dyDescent="0.3">
      <c r="B1149" s="1132"/>
      <c r="C1149" s="569"/>
      <c r="D1149" s="570"/>
    </row>
    <row r="1150" spans="2:4" hidden="1" outlineLevel="2" x14ac:dyDescent="0.3">
      <c r="B1150" s="1132"/>
      <c r="C1150" s="569"/>
      <c r="D1150" s="570"/>
    </row>
    <row r="1151" spans="2:4" hidden="1" outlineLevel="2" x14ac:dyDescent="0.3">
      <c r="B1151" s="1132"/>
      <c r="C1151" s="569"/>
      <c r="D1151" s="570"/>
    </row>
    <row r="1152" spans="2:4" hidden="1" outlineLevel="2" x14ac:dyDescent="0.3">
      <c r="B1152" s="1132"/>
      <c r="C1152" s="569"/>
      <c r="D1152" s="570"/>
    </row>
    <row r="1153" spans="2:4" hidden="1" outlineLevel="2" x14ac:dyDescent="0.3">
      <c r="B1153" s="1132"/>
      <c r="C1153" s="569"/>
      <c r="D1153" s="570"/>
    </row>
    <row r="1154" spans="2:4" hidden="1" outlineLevel="1" x14ac:dyDescent="0.3">
      <c r="B1154" s="1132"/>
      <c r="C1154" s="569"/>
      <c r="D1154" s="570"/>
    </row>
    <row r="1155" spans="2:4" hidden="1" outlineLevel="2" x14ac:dyDescent="0.3">
      <c r="B1155" s="1132"/>
      <c r="C1155" s="569"/>
      <c r="D1155" s="570"/>
    </row>
    <row r="1156" spans="2:4" hidden="1" outlineLevel="2" x14ac:dyDescent="0.3">
      <c r="B1156" s="1132"/>
      <c r="C1156" s="569"/>
      <c r="D1156" s="570"/>
    </row>
    <row r="1157" spans="2:4" hidden="1" outlineLevel="2" x14ac:dyDescent="0.3">
      <c r="B1157" s="1132"/>
      <c r="C1157" s="569"/>
      <c r="D1157" s="570"/>
    </row>
    <row r="1158" spans="2:4" hidden="1" outlineLevel="2" x14ac:dyDescent="0.3">
      <c r="B1158" s="1132"/>
      <c r="C1158" s="569"/>
      <c r="D1158" s="570"/>
    </row>
    <row r="1159" spans="2:4" hidden="1" outlineLevel="2" x14ac:dyDescent="0.3">
      <c r="B1159" s="1132"/>
      <c r="C1159" s="569"/>
      <c r="D1159" s="570"/>
    </row>
    <row r="1160" spans="2:4" hidden="1" outlineLevel="2" x14ac:dyDescent="0.3">
      <c r="B1160" s="1132"/>
      <c r="C1160" s="569"/>
      <c r="D1160" s="570"/>
    </row>
    <row r="1161" spans="2:4" hidden="1" outlineLevel="2" x14ac:dyDescent="0.3">
      <c r="B1161" s="1132"/>
      <c r="C1161" s="569"/>
      <c r="D1161" s="570"/>
    </row>
    <row r="1162" spans="2:4" hidden="1" outlineLevel="2" x14ac:dyDescent="0.3">
      <c r="B1162" s="1132"/>
      <c r="C1162" s="569"/>
      <c r="D1162" s="570"/>
    </row>
    <row r="1163" spans="2:4" hidden="1" outlineLevel="2" x14ac:dyDescent="0.3">
      <c r="B1163" s="1132"/>
      <c r="C1163" s="569"/>
      <c r="D1163" s="570"/>
    </row>
    <row r="1164" spans="2:4" hidden="1" outlineLevel="1" x14ac:dyDescent="0.3">
      <c r="B1164" s="1132"/>
      <c r="C1164" s="569"/>
      <c r="D1164" s="570"/>
    </row>
    <row r="1165" spans="2:4" hidden="1" outlineLevel="2" x14ac:dyDescent="0.3">
      <c r="B1165" s="1132"/>
      <c r="C1165" s="569"/>
      <c r="D1165" s="570"/>
    </row>
    <row r="1166" spans="2:4" hidden="1" outlineLevel="2" x14ac:dyDescent="0.3">
      <c r="B1166" s="1132"/>
      <c r="C1166" s="569"/>
      <c r="D1166" s="570"/>
    </row>
    <row r="1167" spans="2:4" hidden="1" outlineLevel="2" x14ac:dyDescent="0.3">
      <c r="B1167" s="1132"/>
      <c r="C1167" s="569"/>
      <c r="D1167" s="570"/>
    </row>
    <row r="1168" spans="2:4" hidden="1" outlineLevel="2" x14ac:dyDescent="0.3">
      <c r="B1168" s="1132"/>
      <c r="C1168" s="569"/>
      <c r="D1168" s="570"/>
    </row>
    <row r="1169" spans="2:4" hidden="1" outlineLevel="2" x14ac:dyDescent="0.3">
      <c r="B1169" s="1132"/>
      <c r="C1169" s="569"/>
      <c r="D1169" s="570"/>
    </row>
    <row r="1170" spans="2:4" hidden="1" outlineLevel="2" x14ac:dyDescent="0.3">
      <c r="B1170" s="1132"/>
      <c r="C1170" s="569"/>
      <c r="D1170" s="570"/>
    </row>
    <row r="1171" spans="2:4" hidden="1" outlineLevel="2" x14ac:dyDescent="0.3">
      <c r="B1171" s="1132"/>
      <c r="C1171" s="569"/>
      <c r="D1171" s="570"/>
    </row>
    <row r="1172" spans="2:4" hidden="1" outlineLevel="2" x14ac:dyDescent="0.3">
      <c r="B1172" s="1132"/>
      <c r="C1172" s="569"/>
      <c r="D1172" s="570"/>
    </row>
    <row r="1173" spans="2:4" hidden="1" outlineLevel="2" x14ac:dyDescent="0.3">
      <c r="B1173" s="1132"/>
      <c r="C1173" s="569"/>
      <c r="D1173" s="570"/>
    </row>
    <row r="1174" spans="2:4" hidden="1" outlineLevel="1" x14ac:dyDescent="0.3">
      <c r="B1174" s="1132"/>
      <c r="C1174" s="569"/>
      <c r="D1174" s="570"/>
    </row>
    <row r="1175" spans="2:4" hidden="1" outlineLevel="2" x14ac:dyDescent="0.3">
      <c r="B1175" s="1132"/>
      <c r="C1175" s="569"/>
      <c r="D1175" s="570"/>
    </row>
    <row r="1176" spans="2:4" hidden="1" outlineLevel="2" x14ac:dyDescent="0.3">
      <c r="B1176" s="1132"/>
      <c r="C1176" s="569"/>
      <c r="D1176" s="570"/>
    </row>
    <row r="1177" spans="2:4" hidden="1" outlineLevel="2" x14ac:dyDescent="0.3">
      <c r="B1177" s="1132"/>
      <c r="C1177" s="569"/>
      <c r="D1177" s="570"/>
    </row>
    <row r="1178" spans="2:4" hidden="1" outlineLevel="2" x14ac:dyDescent="0.3">
      <c r="B1178" s="1132"/>
      <c r="C1178" s="569"/>
      <c r="D1178" s="570"/>
    </row>
    <row r="1179" spans="2:4" hidden="1" outlineLevel="2" x14ac:dyDescent="0.3">
      <c r="B1179" s="1132"/>
      <c r="C1179" s="569"/>
      <c r="D1179" s="570"/>
    </row>
    <row r="1180" spans="2:4" hidden="1" outlineLevel="2" x14ac:dyDescent="0.3">
      <c r="B1180" s="1132"/>
      <c r="C1180" s="569"/>
      <c r="D1180" s="570"/>
    </row>
    <row r="1181" spans="2:4" hidden="1" outlineLevel="2" x14ac:dyDescent="0.3">
      <c r="B1181" s="1132"/>
      <c r="C1181" s="569"/>
      <c r="D1181" s="570"/>
    </row>
    <row r="1182" spans="2:4" hidden="1" outlineLevel="2" x14ac:dyDescent="0.3">
      <c r="B1182" s="1132"/>
      <c r="C1182" s="569"/>
      <c r="D1182" s="570"/>
    </row>
    <row r="1183" spans="2:4" hidden="1" outlineLevel="2" x14ac:dyDescent="0.3">
      <c r="B1183" s="1132"/>
      <c r="C1183" s="569"/>
      <c r="D1183" s="570"/>
    </row>
    <row r="1184" spans="2:4" hidden="1" outlineLevel="1" x14ac:dyDescent="0.3">
      <c r="B1184" s="1132"/>
      <c r="C1184" s="569"/>
      <c r="D1184" s="570"/>
    </row>
    <row r="1185" spans="2:4" hidden="1" outlineLevel="2" x14ac:dyDescent="0.3">
      <c r="B1185" s="1132"/>
      <c r="C1185" s="569"/>
      <c r="D1185" s="570"/>
    </row>
    <row r="1186" spans="2:4" hidden="1" outlineLevel="2" x14ac:dyDescent="0.3">
      <c r="B1186" s="1132"/>
      <c r="C1186" s="569"/>
      <c r="D1186" s="570"/>
    </row>
    <row r="1187" spans="2:4" hidden="1" outlineLevel="2" x14ac:dyDescent="0.3">
      <c r="B1187" s="1132"/>
      <c r="C1187" s="569"/>
      <c r="D1187" s="570"/>
    </row>
    <row r="1188" spans="2:4" hidden="1" outlineLevel="2" x14ac:dyDescent="0.3">
      <c r="B1188" s="1132"/>
      <c r="C1188" s="569"/>
      <c r="D1188" s="570"/>
    </row>
    <row r="1189" spans="2:4" hidden="1" outlineLevel="2" x14ac:dyDescent="0.3">
      <c r="B1189" s="1132"/>
      <c r="C1189" s="569"/>
      <c r="D1189" s="570"/>
    </row>
    <row r="1190" spans="2:4" hidden="1" outlineLevel="2" x14ac:dyDescent="0.3">
      <c r="B1190" s="1132"/>
      <c r="C1190" s="569"/>
      <c r="D1190" s="570"/>
    </row>
    <row r="1191" spans="2:4" hidden="1" outlineLevel="2" x14ac:dyDescent="0.3">
      <c r="B1191" s="1132"/>
      <c r="C1191" s="569"/>
      <c r="D1191" s="570"/>
    </row>
    <row r="1192" spans="2:4" hidden="1" outlineLevel="2" x14ac:dyDescent="0.3">
      <c r="B1192" s="1132"/>
      <c r="C1192" s="569"/>
      <c r="D1192" s="570"/>
    </row>
    <row r="1193" spans="2:4" hidden="1" outlineLevel="2" x14ac:dyDescent="0.3">
      <c r="B1193" s="1132"/>
      <c r="C1193" s="569"/>
      <c r="D1193" s="570"/>
    </row>
    <row r="1194" spans="2:4" hidden="1" outlineLevel="1" x14ac:dyDescent="0.3">
      <c r="B1194" s="1132"/>
      <c r="C1194" s="569"/>
      <c r="D1194" s="570"/>
    </row>
    <row r="1195" spans="2:4" hidden="1" outlineLevel="2" x14ac:dyDescent="0.3">
      <c r="B1195" s="1132"/>
      <c r="C1195" s="569"/>
      <c r="D1195" s="570"/>
    </row>
    <row r="1196" spans="2:4" hidden="1" outlineLevel="2" x14ac:dyDescent="0.3">
      <c r="B1196" s="1132"/>
      <c r="C1196" s="569"/>
      <c r="D1196" s="570"/>
    </row>
    <row r="1197" spans="2:4" hidden="1" outlineLevel="2" x14ac:dyDescent="0.3">
      <c r="B1197" s="1132"/>
      <c r="C1197" s="569"/>
      <c r="D1197" s="570"/>
    </row>
    <row r="1198" spans="2:4" hidden="1" outlineLevel="2" x14ac:dyDescent="0.3">
      <c r="B1198" s="1132"/>
      <c r="C1198" s="569"/>
      <c r="D1198" s="570"/>
    </row>
    <row r="1199" spans="2:4" hidden="1" outlineLevel="2" x14ac:dyDescent="0.3">
      <c r="B1199" s="1132"/>
      <c r="C1199" s="569"/>
      <c r="D1199" s="570"/>
    </row>
    <row r="1200" spans="2:4" hidden="1" outlineLevel="2" x14ac:dyDescent="0.3">
      <c r="B1200" s="1132"/>
      <c r="C1200" s="569"/>
      <c r="D1200" s="570"/>
    </row>
    <row r="1201" spans="2:4" hidden="1" outlineLevel="2" x14ac:dyDescent="0.3">
      <c r="B1201" s="1132"/>
      <c r="C1201" s="569"/>
      <c r="D1201" s="570"/>
    </row>
    <row r="1202" spans="2:4" hidden="1" outlineLevel="2" x14ac:dyDescent="0.3">
      <c r="B1202" s="1132"/>
      <c r="C1202" s="569"/>
      <c r="D1202" s="570"/>
    </row>
    <row r="1203" spans="2:4" hidden="1" outlineLevel="2" x14ac:dyDescent="0.3">
      <c r="B1203" s="1132"/>
      <c r="C1203" s="569"/>
      <c r="D1203" s="570"/>
    </row>
    <row r="1204" spans="2:4" hidden="1" outlineLevel="1" x14ac:dyDescent="0.3">
      <c r="B1204" s="1132"/>
      <c r="C1204" s="569"/>
      <c r="D1204" s="570"/>
    </row>
    <row r="1205" spans="2:4" hidden="1" outlineLevel="2" x14ac:dyDescent="0.3">
      <c r="B1205" s="1132"/>
      <c r="C1205" s="569"/>
      <c r="D1205" s="570"/>
    </row>
    <row r="1206" spans="2:4" hidden="1" outlineLevel="2" x14ac:dyDescent="0.3">
      <c r="B1206" s="1132"/>
      <c r="C1206" s="569"/>
      <c r="D1206" s="570"/>
    </row>
    <row r="1207" spans="2:4" hidden="1" outlineLevel="2" x14ac:dyDescent="0.3">
      <c r="B1207" s="1132"/>
      <c r="C1207" s="569"/>
      <c r="D1207" s="570"/>
    </row>
    <row r="1208" spans="2:4" hidden="1" outlineLevel="2" x14ac:dyDescent="0.3">
      <c r="B1208" s="1132"/>
      <c r="C1208" s="569"/>
      <c r="D1208" s="570"/>
    </row>
    <row r="1209" spans="2:4" hidden="1" outlineLevel="2" x14ac:dyDescent="0.3">
      <c r="B1209" s="1132"/>
      <c r="C1209" s="569"/>
      <c r="D1209" s="570"/>
    </row>
    <row r="1210" spans="2:4" hidden="1" outlineLevel="2" x14ac:dyDescent="0.3">
      <c r="B1210" s="1132"/>
      <c r="C1210" s="569"/>
      <c r="D1210" s="570"/>
    </row>
    <row r="1211" spans="2:4" hidden="1" outlineLevel="2" x14ac:dyDescent="0.3">
      <c r="B1211" s="1132"/>
      <c r="C1211" s="569"/>
      <c r="D1211" s="570"/>
    </row>
    <row r="1212" spans="2:4" hidden="1" outlineLevel="2" x14ac:dyDescent="0.3">
      <c r="B1212" s="1132"/>
      <c r="C1212" s="569"/>
      <c r="D1212" s="570"/>
    </row>
    <row r="1213" spans="2:4" hidden="1" outlineLevel="2" x14ac:dyDescent="0.3">
      <c r="B1213" s="1132"/>
      <c r="C1213" s="569"/>
      <c r="D1213" s="570"/>
    </row>
    <row r="1214" spans="2:4" hidden="1" outlineLevel="1" x14ac:dyDescent="0.3">
      <c r="B1214" s="1132"/>
      <c r="C1214" s="569"/>
      <c r="D1214" s="570"/>
    </row>
    <row r="1215" spans="2:4" hidden="1" outlineLevel="2" x14ac:dyDescent="0.3">
      <c r="B1215" s="1132"/>
      <c r="C1215" s="569"/>
      <c r="D1215" s="570"/>
    </row>
    <row r="1216" spans="2:4" hidden="1" outlineLevel="2" x14ac:dyDescent="0.3">
      <c r="B1216" s="1132"/>
      <c r="C1216" s="569"/>
      <c r="D1216" s="570"/>
    </row>
    <row r="1217" spans="2:4" hidden="1" outlineLevel="2" x14ac:dyDescent="0.3">
      <c r="B1217" s="1132"/>
      <c r="C1217" s="569"/>
      <c r="D1217" s="570"/>
    </row>
    <row r="1218" spans="2:4" hidden="1" outlineLevel="2" x14ac:dyDescent="0.3">
      <c r="B1218" s="1132"/>
      <c r="C1218" s="569"/>
      <c r="D1218" s="570"/>
    </row>
    <row r="1219" spans="2:4" hidden="1" outlineLevel="2" x14ac:dyDescent="0.3">
      <c r="B1219" s="1132"/>
      <c r="C1219" s="569"/>
      <c r="D1219" s="570"/>
    </row>
    <row r="1220" spans="2:4" hidden="1" outlineLevel="2" x14ac:dyDescent="0.3">
      <c r="B1220" s="1132"/>
      <c r="C1220" s="569"/>
      <c r="D1220" s="570"/>
    </row>
    <row r="1221" spans="2:4" hidden="1" outlineLevel="2" x14ac:dyDescent="0.3">
      <c r="B1221" s="1132"/>
      <c r="C1221" s="569"/>
      <c r="D1221" s="570"/>
    </row>
    <row r="1222" spans="2:4" hidden="1" outlineLevel="2" x14ac:dyDescent="0.3">
      <c r="B1222" s="1132"/>
      <c r="C1222" s="569"/>
      <c r="D1222" s="570"/>
    </row>
    <row r="1223" spans="2:4" hidden="1" outlineLevel="2" x14ac:dyDescent="0.3">
      <c r="B1223" s="1132"/>
      <c r="C1223" s="569"/>
      <c r="D1223" s="570"/>
    </row>
    <row r="1224" spans="2:4" hidden="1" outlineLevel="1" x14ac:dyDescent="0.3">
      <c r="B1224" s="1132"/>
      <c r="C1224" s="569"/>
      <c r="D1224" s="570"/>
    </row>
    <row r="1225" spans="2:4" hidden="1" outlineLevel="2" x14ac:dyDescent="0.3">
      <c r="B1225" s="1132"/>
      <c r="C1225" s="569"/>
      <c r="D1225" s="570"/>
    </row>
    <row r="1226" spans="2:4" hidden="1" outlineLevel="2" x14ac:dyDescent="0.3">
      <c r="B1226" s="1132"/>
      <c r="C1226" s="569"/>
      <c r="D1226" s="570"/>
    </row>
    <row r="1227" spans="2:4" hidden="1" outlineLevel="2" x14ac:dyDescent="0.3">
      <c r="B1227" s="1132"/>
      <c r="C1227" s="569"/>
      <c r="D1227" s="570"/>
    </row>
    <row r="1228" spans="2:4" hidden="1" outlineLevel="2" x14ac:dyDescent="0.3">
      <c r="B1228" s="1132"/>
      <c r="C1228" s="569"/>
      <c r="D1228" s="570"/>
    </row>
    <row r="1229" spans="2:4" hidden="1" outlineLevel="2" x14ac:dyDescent="0.3">
      <c r="B1229" s="1132"/>
      <c r="C1229" s="569"/>
      <c r="D1229" s="570"/>
    </row>
    <row r="1230" spans="2:4" hidden="1" outlineLevel="2" x14ac:dyDescent="0.3">
      <c r="B1230" s="1132"/>
      <c r="C1230" s="569"/>
      <c r="D1230" s="570"/>
    </row>
    <row r="1231" spans="2:4" hidden="1" outlineLevel="2" x14ac:dyDescent="0.3">
      <c r="B1231" s="1132"/>
      <c r="C1231" s="569"/>
      <c r="D1231" s="570"/>
    </row>
    <row r="1232" spans="2:4" hidden="1" outlineLevel="2" x14ac:dyDescent="0.3">
      <c r="B1232" s="1132"/>
      <c r="C1232" s="569"/>
      <c r="D1232" s="570"/>
    </row>
    <row r="1233" spans="2:4" hidden="1" outlineLevel="2" x14ac:dyDescent="0.3">
      <c r="B1233" s="1132"/>
      <c r="C1233" s="569"/>
      <c r="D1233" s="570"/>
    </row>
    <row r="1234" spans="2:4" hidden="1" outlineLevel="1" x14ac:dyDescent="0.3">
      <c r="B1234" s="1132"/>
      <c r="C1234" s="569"/>
      <c r="D1234" s="570"/>
    </row>
    <row r="1235" spans="2:4" hidden="1" outlineLevel="2" x14ac:dyDescent="0.3">
      <c r="B1235" s="1132"/>
      <c r="C1235" s="569"/>
      <c r="D1235" s="570"/>
    </row>
    <row r="1236" spans="2:4" hidden="1" outlineLevel="2" x14ac:dyDescent="0.3">
      <c r="B1236" s="1132"/>
      <c r="C1236" s="569"/>
      <c r="D1236" s="570"/>
    </row>
    <row r="1237" spans="2:4" hidden="1" outlineLevel="2" x14ac:dyDescent="0.3">
      <c r="B1237" s="1132"/>
      <c r="C1237" s="569"/>
      <c r="D1237" s="570"/>
    </row>
    <row r="1238" spans="2:4" hidden="1" outlineLevel="2" x14ac:dyDescent="0.3">
      <c r="B1238" s="1132"/>
      <c r="C1238" s="569"/>
      <c r="D1238" s="570"/>
    </row>
    <row r="1239" spans="2:4" hidden="1" outlineLevel="2" x14ac:dyDescent="0.3">
      <c r="B1239" s="1132"/>
      <c r="C1239" s="569"/>
      <c r="D1239" s="570"/>
    </row>
    <row r="1240" spans="2:4" hidden="1" outlineLevel="2" x14ac:dyDescent="0.3">
      <c r="B1240" s="1132"/>
      <c r="C1240" s="569"/>
      <c r="D1240" s="570"/>
    </row>
    <row r="1241" spans="2:4" hidden="1" outlineLevel="2" x14ac:dyDescent="0.3">
      <c r="B1241" s="1132"/>
      <c r="C1241" s="569"/>
      <c r="D1241" s="570"/>
    </row>
    <row r="1242" spans="2:4" hidden="1" outlineLevel="2" x14ac:dyDescent="0.3">
      <c r="B1242" s="1132"/>
      <c r="C1242" s="569"/>
      <c r="D1242" s="570"/>
    </row>
    <row r="1243" spans="2:4" hidden="1" outlineLevel="2" x14ac:dyDescent="0.3">
      <c r="B1243" s="1132"/>
      <c r="C1243" s="569"/>
      <c r="D1243" s="570"/>
    </row>
    <row r="1244" spans="2:4" hidden="1" outlineLevel="1" x14ac:dyDescent="0.3">
      <c r="B1244" s="1132"/>
      <c r="C1244" s="569"/>
      <c r="D1244" s="570"/>
    </row>
    <row r="1245" spans="2:4" hidden="1" outlineLevel="2" x14ac:dyDescent="0.3">
      <c r="B1245" s="1132"/>
      <c r="C1245" s="569"/>
      <c r="D1245" s="570"/>
    </row>
    <row r="1246" spans="2:4" hidden="1" outlineLevel="2" x14ac:dyDescent="0.3">
      <c r="B1246" s="1132"/>
      <c r="C1246" s="569"/>
      <c r="D1246" s="570"/>
    </row>
    <row r="1247" spans="2:4" hidden="1" outlineLevel="2" x14ac:dyDescent="0.3">
      <c r="B1247" s="1132"/>
      <c r="C1247" s="569"/>
      <c r="D1247" s="570"/>
    </row>
    <row r="1248" spans="2:4" hidden="1" outlineLevel="2" x14ac:dyDescent="0.3">
      <c r="B1248" s="1132"/>
      <c r="C1248" s="569"/>
      <c r="D1248" s="570"/>
    </row>
    <row r="1249" spans="2:4" hidden="1" outlineLevel="2" x14ac:dyDescent="0.3">
      <c r="B1249" s="1132"/>
      <c r="C1249" s="569"/>
      <c r="D1249" s="570"/>
    </row>
    <row r="1250" spans="2:4" hidden="1" outlineLevel="2" x14ac:dyDescent="0.3">
      <c r="B1250" s="1132"/>
      <c r="C1250" s="569"/>
      <c r="D1250" s="570"/>
    </row>
    <row r="1251" spans="2:4" hidden="1" outlineLevel="2" x14ac:dyDescent="0.3">
      <c r="B1251" s="1132"/>
      <c r="C1251" s="569"/>
      <c r="D1251" s="570"/>
    </row>
    <row r="1252" spans="2:4" hidden="1" outlineLevel="2" x14ac:dyDescent="0.3">
      <c r="B1252" s="1132"/>
      <c r="C1252" s="569"/>
      <c r="D1252" s="570"/>
    </row>
    <row r="1253" spans="2:4" hidden="1" outlineLevel="2" x14ac:dyDescent="0.3">
      <c r="B1253" s="1132"/>
      <c r="C1253" s="569"/>
      <c r="D1253" s="570"/>
    </row>
    <row r="1254" spans="2:4" hidden="1" outlineLevel="1" x14ac:dyDescent="0.3">
      <c r="B1254" s="1132"/>
      <c r="C1254" s="569"/>
      <c r="D1254" s="570"/>
    </row>
    <row r="1255" spans="2:4" hidden="1" outlineLevel="2" x14ac:dyDescent="0.3">
      <c r="B1255" s="1132"/>
      <c r="C1255" s="569"/>
      <c r="D1255" s="570"/>
    </row>
    <row r="1256" spans="2:4" hidden="1" outlineLevel="2" x14ac:dyDescent="0.3">
      <c r="B1256" s="1132"/>
      <c r="C1256" s="569"/>
      <c r="D1256" s="570"/>
    </row>
    <row r="1257" spans="2:4" hidden="1" outlineLevel="2" x14ac:dyDescent="0.3">
      <c r="B1257" s="1132"/>
      <c r="C1257" s="569"/>
      <c r="D1257" s="570"/>
    </row>
    <row r="1258" spans="2:4" hidden="1" outlineLevel="2" x14ac:dyDescent="0.3">
      <c r="B1258" s="1132"/>
      <c r="C1258" s="569"/>
      <c r="D1258" s="570"/>
    </row>
    <row r="1259" spans="2:4" hidden="1" outlineLevel="2" x14ac:dyDescent="0.3">
      <c r="B1259" s="1132"/>
      <c r="C1259" s="569"/>
      <c r="D1259" s="570"/>
    </row>
    <row r="1260" spans="2:4" hidden="1" outlineLevel="2" x14ac:dyDescent="0.3">
      <c r="B1260" s="1132"/>
      <c r="C1260" s="569"/>
      <c r="D1260" s="570"/>
    </row>
    <row r="1261" spans="2:4" hidden="1" outlineLevel="2" x14ac:dyDescent="0.3">
      <c r="B1261" s="1132"/>
      <c r="C1261" s="569"/>
      <c r="D1261" s="570"/>
    </row>
    <row r="1262" spans="2:4" hidden="1" outlineLevel="2" x14ac:dyDescent="0.3">
      <c r="B1262" s="1132"/>
      <c r="C1262" s="569"/>
      <c r="D1262" s="570"/>
    </row>
    <row r="1263" spans="2:4" hidden="1" outlineLevel="2" x14ac:dyDescent="0.3">
      <c r="B1263" s="1132"/>
      <c r="C1263" s="569"/>
      <c r="D1263" s="570"/>
    </row>
    <row r="1264" spans="2:4" hidden="1" outlineLevel="1" x14ac:dyDescent="0.3">
      <c r="B1264" s="1132"/>
      <c r="C1264" s="569"/>
      <c r="D1264" s="570"/>
    </row>
    <row r="1265" spans="2:4" hidden="1" outlineLevel="2" x14ac:dyDescent="0.3">
      <c r="B1265" s="1132"/>
      <c r="C1265" s="569"/>
      <c r="D1265" s="570"/>
    </row>
    <row r="1266" spans="2:4" hidden="1" outlineLevel="2" x14ac:dyDescent="0.3">
      <c r="B1266" s="1132"/>
      <c r="C1266" s="569"/>
      <c r="D1266" s="570"/>
    </row>
    <row r="1267" spans="2:4" hidden="1" outlineLevel="2" x14ac:dyDescent="0.3">
      <c r="B1267" s="1132"/>
      <c r="C1267" s="569"/>
      <c r="D1267" s="570"/>
    </row>
    <row r="1268" spans="2:4" hidden="1" outlineLevel="2" x14ac:dyDescent="0.3">
      <c r="B1268" s="1132"/>
      <c r="C1268" s="569"/>
      <c r="D1268" s="570"/>
    </row>
    <row r="1269" spans="2:4" hidden="1" outlineLevel="2" x14ac:dyDescent="0.3">
      <c r="B1269" s="1132"/>
      <c r="C1269" s="569"/>
      <c r="D1269" s="570"/>
    </row>
    <row r="1270" spans="2:4" hidden="1" outlineLevel="2" x14ac:dyDescent="0.3">
      <c r="B1270" s="1132"/>
      <c r="C1270" s="569"/>
      <c r="D1270" s="570"/>
    </row>
    <row r="1271" spans="2:4" hidden="1" outlineLevel="2" x14ac:dyDescent="0.3">
      <c r="B1271" s="1132"/>
      <c r="C1271" s="569"/>
      <c r="D1271" s="570"/>
    </row>
    <row r="1272" spans="2:4" hidden="1" outlineLevel="2" x14ac:dyDescent="0.3">
      <c r="B1272" s="1132"/>
      <c r="C1272" s="569"/>
      <c r="D1272" s="570"/>
    </row>
    <row r="1273" spans="2:4" hidden="1" outlineLevel="2" x14ac:dyDescent="0.3">
      <c r="B1273" s="1132"/>
      <c r="C1273" s="569"/>
      <c r="D1273" s="570"/>
    </row>
    <row r="1274" spans="2:4" hidden="1" outlineLevel="1" x14ac:dyDescent="0.3">
      <c r="B1274" s="1132"/>
      <c r="C1274" s="569"/>
      <c r="D1274" s="570"/>
    </row>
    <row r="1275" spans="2:4" hidden="1" outlineLevel="2" x14ac:dyDescent="0.3">
      <c r="B1275" s="1132"/>
      <c r="C1275" s="569"/>
      <c r="D1275" s="570"/>
    </row>
    <row r="1276" spans="2:4" hidden="1" outlineLevel="2" x14ac:dyDescent="0.3">
      <c r="B1276" s="1132"/>
      <c r="C1276" s="569"/>
      <c r="D1276" s="570"/>
    </row>
    <row r="1277" spans="2:4" hidden="1" outlineLevel="2" x14ac:dyDescent="0.3">
      <c r="B1277" s="1132"/>
      <c r="C1277" s="569"/>
      <c r="D1277" s="570"/>
    </row>
    <row r="1278" spans="2:4" hidden="1" outlineLevel="2" x14ac:dyDescent="0.3">
      <c r="B1278" s="1132"/>
      <c r="C1278" s="569"/>
      <c r="D1278" s="570"/>
    </row>
    <row r="1279" spans="2:4" hidden="1" outlineLevel="2" x14ac:dyDescent="0.3">
      <c r="B1279" s="1132"/>
      <c r="C1279" s="569"/>
      <c r="D1279" s="570"/>
    </row>
    <row r="1280" spans="2:4" hidden="1" outlineLevel="2" x14ac:dyDescent="0.3">
      <c r="B1280" s="1132"/>
      <c r="C1280" s="569"/>
      <c r="D1280" s="570"/>
    </row>
    <row r="1281" spans="2:4" hidden="1" outlineLevel="2" x14ac:dyDescent="0.3">
      <c r="B1281" s="1132"/>
      <c r="C1281" s="569"/>
      <c r="D1281" s="570"/>
    </row>
    <row r="1282" spans="2:4" hidden="1" outlineLevel="2" x14ac:dyDescent="0.3">
      <c r="B1282" s="1132"/>
      <c r="C1282" s="569"/>
      <c r="D1282" s="570"/>
    </row>
    <row r="1283" spans="2:4" hidden="1" outlineLevel="2" x14ac:dyDescent="0.3">
      <c r="B1283" s="1132"/>
      <c r="C1283" s="569"/>
      <c r="D1283" s="570"/>
    </row>
    <row r="1284" spans="2:4" hidden="1" outlineLevel="1" x14ac:dyDescent="0.3">
      <c r="B1284" s="1132"/>
      <c r="C1284" s="569"/>
      <c r="D1284" s="570"/>
    </row>
    <row r="1285" spans="2:4" hidden="1" outlineLevel="2" x14ac:dyDescent="0.3">
      <c r="B1285" s="1132"/>
      <c r="C1285" s="569"/>
      <c r="D1285" s="570"/>
    </row>
    <row r="1286" spans="2:4" hidden="1" outlineLevel="2" x14ac:dyDescent="0.3">
      <c r="B1286" s="1132"/>
      <c r="C1286" s="569"/>
      <c r="D1286" s="570"/>
    </row>
    <row r="1287" spans="2:4" hidden="1" outlineLevel="2" x14ac:dyDescent="0.3">
      <c r="B1287" s="1132"/>
      <c r="C1287" s="569"/>
      <c r="D1287" s="570"/>
    </row>
    <row r="1288" spans="2:4" hidden="1" outlineLevel="2" x14ac:dyDescent="0.3">
      <c r="B1288" s="1132"/>
      <c r="C1288" s="569"/>
      <c r="D1288" s="570"/>
    </row>
    <row r="1289" spans="2:4" hidden="1" outlineLevel="2" x14ac:dyDescent="0.3">
      <c r="B1289" s="1132"/>
      <c r="C1289" s="569"/>
      <c r="D1289" s="570"/>
    </row>
    <row r="1290" spans="2:4" hidden="1" outlineLevel="2" x14ac:dyDescent="0.3">
      <c r="B1290" s="1132"/>
      <c r="C1290" s="569"/>
      <c r="D1290" s="570"/>
    </row>
    <row r="1291" spans="2:4" hidden="1" outlineLevel="2" x14ac:dyDescent="0.3">
      <c r="B1291" s="1132"/>
      <c r="C1291" s="569"/>
      <c r="D1291" s="570"/>
    </row>
    <row r="1292" spans="2:4" hidden="1" outlineLevel="2" x14ac:dyDescent="0.3">
      <c r="B1292" s="1132"/>
      <c r="C1292" s="569"/>
      <c r="D1292" s="570"/>
    </row>
    <row r="1293" spans="2:4" hidden="1" outlineLevel="2" x14ac:dyDescent="0.3">
      <c r="B1293" s="1132"/>
      <c r="C1293" s="569"/>
      <c r="D1293" s="570"/>
    </row>
    <row r="1294" spans="2:4" hidden="1" outlineLevel="1" x14ac:dyDescent="0.3">
      <c r="B1294" s="1132"/>
      <c r="C1294" s="569"/>
      <c r="D1294" s="570"/>
    </row>
    <row r="1295" spans="2:4" hidden="1" outlineLevel="2" x14ac:dyDescent="0.3">
      <c r="B1295" s="1132"/>
      <c r="C1295" s="569"/>
      <c r="D1295" s="570"/>
    </row>
    <row r="1296" spans="2:4" hidden="1" outlineLevel="2" x14ac:dyDescent="0.3">
      <c r="B1296" s="1132"/>
      <c r="C1296" s="569"/>
      <c r="D1296" s="570"/>
    </row>
    <row r="1297" spans="2:4" hidden="1" outlineLevel="2" x14ac:dyDescent="0.3">
      <c r="B1297" s="1132"/>
      <c r="C1297" s="569"/>
      <c r="D1297" s="570"/>
    </row>
    <row r="1298" spans="2:4" hidden="1" outlineLevel="2" x14ac:dyDescent="0.3">
      <c r="B1298" s="1132"/>
      <c r="C1298" s="569"/>
      <c r="D1298" s="570"/>
    </row>
    <row r="1299" spans="2:4" hidden="1" outlineLevel="2" x14ac:dyDescent="0.3">
      <c r="B1299" s="1132"/>
      <c r="C1299" s="569"/>
      <c r="D1299" s="570"/>
    </row>
    <row r="1300" spans="2:4" hidden="1" outlineLevel="2" x14ac:dyDescent="0.3">
      <c r="B1300" s="1132"/>
      <c r="C1300" s="569"/>
      <c r="D1300" s="570"/>
    </row>
    <row r="1301" spans="2:4" hidden="1" outlineLevel="2" x14ac:dyDescent="0.3">
      <c r="B1301" s="1132"/>
      <c r="C1301" s="569"/>
      <c r="D1301" s="570"/>
    </row>
    <row r="1302" spans="2:4" hidden="1" outlineLevel="2" x14ac:dyDescent="0.3">
      <c r="B1302" s="1132"/>
      <c r="C1302" s="569"/>
      <c r="D1302" s="570"/>
    </row>
    <row r="1303" spans="2:4" hidden="1" outlineLevel="2" x14ac:dyDescent="0.3">
      <c r="B1303" s="1132"/>
      <c r="C1303" s="569"/>
      <c r="D1303" s="570"/>
    </row>
    <row r="1304" spans="2:4" hidden="1" outlineLevel="1" x14ac:dyDescent="0.3">
      <c r="B1304" s="1132"/>
      <c r="C1304" s="569"/>
      <c r="D1304" s="570"/>
    </row>
    <row r="1305" spans="2:4" hidden="1" outlineLevel="2" x14ac:dyDescent="0.3">
      <c r="B1305" s="1132"/>
      <c r="C1305" s="569"/>
      <c r="D1305" s="570"/>
    </row>
    <row r="1306" spans="2:4" hidden="1" outlineLevel="2" x14ac:dyDescent="0.3">
      <c r="B1306" s="1132"/>
      <c r="C1306" s="569"/>
      <c r="D1306" s="570"/>
    </row>
    <row r="1307" spans="2:4" hidden="1" outlineLevel="2" x14ac:dyDescent="0.3">
      <c r="B1307" s="1132"/>
      <c r="C1307" s="569"/>
      <c r="D1307" s="570"/>
    </row>
    <row r="1308" spans="2:4" hidden="1" outlineLevel="2" x14ac:dyDescent="0.3">
      <c r="B1308" s="1132"/>
      <c r="C1308" s="569"/>
      <c r="D1308" s="570"/>
    </row>
    <row r="1309" spans="2:4" hidden="1" outlineLevel="2" x14ac:dyDescent="0.3">
      <c r="B1309" s="1132"/>
      <c r="C1309" s="569"/>
      <c r="D1309" s="570"/>
    </row>
    <row r="1310" spans="2:4" hidden="1" outlineLevel="2" x14ac:dyDescent="0.3">
      <c r="B1310" s="1132"/>
      <c r="C1310" s="569"/>
      <c r="D1310" s="570"/>
    </row>
    <row r="1311" spans="2:4" hidden="1" outlineLevel="2" x14ac:dyDescent="0.3">
      <c r="B1311" s="1132"/>
      <c r="C1311" s="569"/>
      <c r="D1311" s="570"/>
    </row>
    <row r="1312" spans="2:4" hidden="1" outlineLevel="2" x14ac:dyDescent="0.3">
      <c r="B1312" s="1132"/>
      <c r="C1312" s="569"/>
      <c r="D1312" s="570"/>
    </row>
    <row r="1313" spans="2:4" hidden="1" outlineLevel="2" x14ac:dyDescent="0.3">
      <c r="B1313" s="1132"/>
      <c r="C1313" s="569"/>
      <c r="D1313" s="570"/>
    </row>
    <row r="1314" spans="2:4" hidden="1" outlineLevel="1" x14ac:dyDescent="0.3">
      <c r="B1314" s="1132"/>
      <c r="C1314" s="569"/>
      <c r="D1314" s="570"/>
    </row>
    <row r="1315" spans="2:4" hidden="1" outlineLevel="2" x14ac:dyDescent="0.3">
      <c r="B1315" s="1132"/>
      <c r="C1315" s="569"/>
      <c r="D1315" s="570"/>
    </row>
    <row r="1316" spans="2:4" hidden="1" outlineLevel="2" x14ac:dyDescent="0.3">
      <c r="B1316" s="1132"/>
      <c r="C1316" s="569"/>
      <c r="D1316" s="570"/>
    </row>
    <row r="1317" spans="2:4" hidden="1" outlineLevel="2" x14ac:dyDescent="0.3">
      <c r="B1317" s="1132"/>
      <c r="C1317" s="569"/>
      <c r="D1317" s="570"/>
    </row>
    <row r="1318" spans="2:4" hidden="1" outlineLevel="2" x14ac:dyDescent="0.3">
      <c r="B1318" s="1132"/>
      <c r="C1318" s="569"/>
      <c r="D1318" s="570"/>
    </row>
    <row r="1319" spans="2:4" hidden="1" outlineLevel="2" x14ac:dyDescent="0.3">
      <c r="B1319" s="1132"/>
      <c r="C1319" s="569"/>
      <c r="D1319" s="570"/>
    </row>
    <row r="1320" spans="2:4" hidden="1" outlineLevel="2" x14ac:dyDescent="0.3">
      <c r="B1320" s="1132"/>
      <c r="C1320" s="569"/>
      <c r="D1320" s="570"/>
    </row>
    <row r="1321" spans="2:4" hidden="1" outlineLevel="2" x14ac:dyDescent="0.3">
      <c r="B1321" s="1132"/>
      <c r="C1321" s="569"/>
      <c r="D1321" s="570"/>
    </row>
    <row r="1322" spans="2:4" hidden="1" outlineLevel="2" x14ac:dyDescent="0.3">
      <c r="B1322" s="1132"/>
      <c r="C1322" s="569"/>
      <c r="D1322" s="570"/>
    </row>
    <row r="1323" spans="2:4" hidden="1" outlineLevel="2" x14ac:dyDescent="0.3">
      <c r="B1323" s="1132"/>
      <c r="C1323" s="569"/>
      <c r="D1323" s="570"/>
    </row>
    <row r="1324" spans="2:4" hidden="1" outlineLevel="1" x14ac:dyDescent="0.3">
      <c r="B1324" s="1132"/>
      <c r="C1324" s="569"/>
      <c r="D1324" s="570"/>
    </row>
    <row r="1325" spans="2:4" hidden="1" outlineLevel="2" x14ac:dyDescent="0.3">
      <c r="B1325" s="1132"/>
      <c r="C1325" s="569"/>
      <c r="D1325" s="570"/>
    </row>
    <row r="1326" spans="2:4" hidden="1" outlineLevel="2" x14ac:dyDescent="0.3">
      <c r="B1326" s="1132"/>
      <c r="C1326" s="569"/>
      <c r="D1326" s="570"/>
    </row>
    <row r="1327" spans="2:4" hidden="1" outlineLevel="2" x14ac:dyDescent="0.3">
      <c r="B1327" s="1132"/>
      <c r="C1327" s="569"/>
      <c r="D1327" s="570"/>
    </row>
    <row r="1328" spans="2:4" hidden="1" outlineLevel="2" x14ac:dyDescent="0.3">
      <c r="B1328" s="1132"/>
      <c r="C1328" s="569"/>
      <c r="D1328" s="570"/>
    </row>
    <row r="1329" spans="2:4" hidden="1" outlineLevel="2" x14ac:dyDescent="0.3">
      <c r="B1329" s="1132"/>
      <c r="C1329" s="569"/>
      <c r="D1329" s="570"/>
    </row>
    <row r="1330" spans="2:4" hidden="1" outlineLevel="2" x14ac:dyDescent="0.3">
      <c r="B1330" s="1132"/>
      <c r="C1330" s="569"/>
      <c r="D1330" s="570"/>
    </row>
    <row r="1331" spans="2:4" hidden="1" outlineLevel="2" x14ac:dyDescent="0.3">
      <c r="B1331" s="1132"/>
      <c r="C1331" s="569"/>
      <c r="D1331" s="570"/>
    </row>
    <row r="1332" spans="2:4" hidden="1" outlineLevel="2" x14ac:dyDescent="0.3">
      <c r="B1332" s="1132"/>
      <c r="C1332" s="569"/>
      <c r="D1332" s="570"/>
    </row>
    <row r="1333" spans="2:4" hidden="1" outlineLevel="2" x14ac:dyDescent="0.3">
      <c r="B1333" s="1132"/>
      <c r="C1333" s="569"/>
      <c r="D1333" s="570"/>
    </row>
    <row r="1334" spans="2:4" hidden="1" outlineLevel="1" x14ac:dyDescent="0.3">
      <c r="B1334" s="1132"/>
      <c r="C1334" s="569"/>
      <c r="D1334" s="570"/>
    </row>
    <row r="1335" spans="2:4" hidden="1" outlineLevel="2" x14ac:dyDescent="0.3">
      <c r="B1335" s="1132"/>
      <c r="C1335" s="569"/>
      <c r="D1335" s="570"/>
    </row>
    <row r="1336" spans="2:4" hidden="1" outlineLevel="2" x14ac:dyDescent="0.3">
      <c r="B1336" s="1132"/>
      <c r="C1336" s="569"/>
      <c r="D1336" s="570"/>
    </row>
    <row r="1337" spans="2:4" hidden="1" outlineLevel="2" x14ac:dyDescent="0.3">
      <c r="B1337" s="1132"/>
      <c r="C1337" s="569"/>
      <c r="D1337" s="570"/>
    </row>
    <row r="1338" spans="2:4" hidden="1" outlineLevel="2" x14ac:dyDescent="0.3">
      <c r="B1338" s="1132"/>
      <c r="C1338" s="569"/>
      <c r="D1338" s="570"/>
    </row>
    <row r="1339" spans="2:4" hidden="1" outlineLevel="2" x14ac:dyDescent="0.3">
      <c r="B1339" s="1132"/>
      <c r="C1339" s="569"/>
      <c r="D1339" s="570"/>
    </row>
    <row r="1340" spans="2:4" hidden="1" outlineLevel="2" x14ac:dyDescent="0.3">
      <c r="B1340" s="1132"/>
      <c r="C1340" s="569"/>
      <c r="D1340" s="570"/>
    </row>
    <row r="1341" spans="2:4" hidden="1" outlineLevel="2" x14ac:dyDescent="0.3">
      <c r="B1341" s="1132"/>
      <c r="C1341" s="569"/>
      <c r="D1341" s="570"/>
    </row>
    <row r="1342" spans="2:4" hidden="1" outlineLevel="2" x14ac:dyDescent="0.3">
      <c r="B1342" s="1132"/>
      <c r="C1342" s="569"/>
      <c r="D1342" s="570"/>
    </row>
    <row r="1343" spans="2:4" hidden="1" outlineLevel="2" x14ac:dyDescent="0.3">
      <c r="B1343" s="1132"/>
      <c r="C1343" s="569"/>
      <c r="D1343" s="570"/>
    </row>
    <row r="1344" spans="2:4" hidden="1" outlineLevel="1" x14ac:dyDescent="0.3">
      <c r="B1344" s="1132"/>
      <c r="C1344" s="569"/>
      <c r="D1344" s="570"/>
    </row>
    <row r="1345" spans="2:4" hidden="1" outlineLevel="2" x14ac:dyDescent="0.3">
      <c r="B1345" s="1132"/>
      <c r="C1345" s="569"/>
      <c r="D1345" s="570"/>
    </row>
    <row r="1346" spans="2:4" hidden="1" outlineLevel="2" x14ac:dyDescent="0.3">
      <c r="B1346" s="1132"/>
      <c r="C1346" s="569"/>
      <c r="D1346" s="570"/>
    </row>
    <row r="1347" spans="2:4" hidden="1" outlineLevel="2" x14ac:dyDescent="0.3">
      <c r="B1347" s="1132"/>
      <c r="C1347" s="569"/>
      <c r="D1347" s="570"/>
    </row>
    <row r="1348" spans="2:4" hidden="1" outlineLevel="2" x14ac:dyDescent="0.3">
      <c r="B1348" s="1132"/>
      <c r="C1348" s="569"/>
      <c r="D1348" s="570"/>
    </row>
    <row r="1349" spans="2:4" hidden="1" outlineLevel="2" x14ac:dyDescent="0.3">
      <c r="B1349" s="1132"/>
      <c r="C1349" s="569"/>
      <c r="D1349" s="570"/>
    </row>
    <row r="1350" spans="2:4" hidden="1" outlineLevel="2" x14ac:dyDescent="0.3">
      <c r="B1350" s="1132"/>
      <c r="C1350" s="569"/>
      <c r="D1350" s="570"/>
    </row>
    <row r="1351" spans="2:4" hidden="1" outlineLevel="2" x14ac:dyDescent="0.3">
      <c r="B1351" s="1132"/>
      <c r="C1351" s="569"/>
      <c r="D1351" s="570"/>
    </row>
    <row r="1352" spans="2:4" hidden="1" outlineLevel="2" x14ac:dyDescent="0.3">
      <c r="B1352" s="1132"/>
      <c r="C1352" s="569"/>
      <c r="D1352" s="570"/>
    </row>
    <row r="1353" spans="2:4" hidden="1" outlineLevel="2" x14ac:dyDescent="0.3">
      <c r="B1353" s="1132"/>
      <c r="C1353" s="569"/>
      <c r="D1353" s="570"/>
    </row>
    <row r="1354" spans="2:4" hidden="1" outlineLevel="1" x14ac:dyDescent="0.3">
      <c r="B1354" s="1132"/>
      <c r="C1354" s="569"/>
      <c r="D1354" s="570"/>
    </row>
    <row r="1355" spans="2:4" hidden="1" outlineLevel="2" x14ac:dyDescent="0.3">
      <c r="B1355" s="1132"/>
      <c r="C1355" s="569"/>
      <c r="D1355" s="570"/>
    </row>
    <row r="1356" spans="2:4" hidden="1" outlineLevel="2" x14ac:dyDescent="0.3">
      <c r="B1356" s="1132"/>
      <c r="C1356" s="569"/>
      <c r="D1356" s="570"/>
    </row>
    <row r="1357" spans="2:4" hidden="1" outlineLevel="2" x14ac:dyDescent="0.3">
      <c r="B1357" s="1132"/>
      <c r="C1357" s="569"/>
      <c r="D1357" s="570"/>
    </row>
    <row r="1358" spans="2:4" hidden="1" outlineLevel="2" x14ac:dyDescent="0.3">
      <c r="B1358" s="1132"/>
      <c r="C1358" s="569"/>
      <c r="D1358" s="570"/>
    </row>
    <row r="1359" spans="2:4" hidden="1" outlineLevel="2" x14ac:dyDescent="0.3">
      <c r="B1359" s="1132"/>
      <c r="C1359" s="569"/>
      <c r="D1359" s="570"/>
    </row>
    <row r="1360" spans="2:4" hidden="1" outlineLevel="2" x14ac:dyDescent="0.3">
      <c r="B1360" s="1132"/>
      <c r="C1360" s="569"/>
      <c r="D1360" s="570"/>
    </row>
    <row r="1361" spans="2:4" hidden="1" outlineLevel="2" x14ac:dyDescent="0.3">
      <c r="B1361" s="1132"/>
      <c r="C1361" s="569"/>
      <c r="D1361" s="570"/>
    </row>
    <row r="1362" spans="2:4" hidden="1" outlineLevel="2" x14ac:dyDescent="0.3">
      <c r="B1362" s="1132"/>
      <c r="C1362" s="569"/>
      <c r="D1362" s="570"/>
    </row>
    <row r="1363" spans="2:4" hidden="1" outlineLevel="2" x14ac:dyDescent="0.3">
      <c r="B1363" s="1132"/>
      <c r="C1363" s="569"/>
      <c r="D1363" s="570"/>
    </row>
    <row r="1364" spans="2:4" hidden="1" outlineLevel="1" x14ac:dyDescent="0.3">
      <c r="B1364" s="1132"/>
      <c r="C1364" s="569"/>
      <c r="D1364" s="570"/>
    </row>
    <row r="1365" spans="2:4" hidden="1" outlineLevel="2" x14ac:dyDescent="0.3">
      <c r="B1365" s="1132"/>
      <c r="C1365" s="569"/>
      <c r="D1365" s="570"/>
    </row>
    <row r="1366" spans="2:4" hidden="1" outlineLevel="2" x14ac:dyDescent="0.3">
      <c r="B1366" s="1132"/>
      <c r="C1366" s="569"/>
      <c r="D1366" s="570"/>
    </row>
    <row r="1367" spans="2:4" hidden="1" outlineLevel="2" x14ac:dyDescent="0.3">
      <c r="B1367" s="1132"/>
      <c r="C1367" s="569"/>
      <c r="D1367" s="570"/>
    </row>
    <row r="1368" spans="2:4" hidden="1" outlineLevel="2" x14ac:dyDescent="0.3">
      <c r="B1368" s="1132"/>
      <c r="C1368" s="569"/>
      <c r="D1368" s="570"/>
    </row>
    <row r="1369" spans="2:4" hidden="1" outlineLevel="2" x14ac:dyDescent="0.3">
      <c r="B1369" s="1132"/>
      <c r="C1369" s="569"/>
      <c r="D1369" s="570"/>
    </row>
    <row r="1370" spans="2:4" hidden="1" outlineLevel="2" x14ac:dyDescent="0.3">
      <c r="B1370" s="1132"/>
      <c r="C1370" s="569"/>
      <c r="D1370" s="570"/>
    </row>
    <row r="1371" spans="2:4" hidden="1" outlineLevel="2" x14ac:dyDescent="0.3">
      <c r="B1371" s="1132"/>
      <c r="C1371" s="569"/>
      <c r="D1371" s="570"/>
    </row>
    <row r="1372" spans="2:4" hidden="1" outlineLevel="2" x14ac:dyDescent="0.3">
      <c r="B1372" s="1132"/>
      <c r="C1372" s="569"/>
      <c r="D1372" s="570"/>
    </row>
    <row r="1373" spans="2:4" hidden="1" outlineLevel="2" x14ac:dyDescent="0.3">
      <c r="B1373" s="1132"/>
      <c r="C1373" s="569"/>
      <c r="D1373" s="570"/>
    </row>
    <row r="1374" spans="2:4" hidden="1" outlineLevel="1" x14ac:dyDescent="0.3">
      <c r="B1374" s="1132"/>
      <c r="C1374" s="569"/>
      <c r="D1374" s="570"/>
    </row>
    <row r="1375" spans="2:4" hidden="1" outlineLevel="2" x14ac:dyDescent="0.3">
      <c r="B1375" s="1132"/>
      <c r="C1375" s="569"/>
      <c r="D1375" s="570"/>
    </row>
    <row r="1376" spans="2:4" hidden="1" outlineLevel="2" x14ac:dyDescent="0.3">
      <c r="B1376" s="1132"/>
      <c r="C1376" s="569"/>
      <c r="D1376" s="570"/>
    </row>
    <row r="1377" spans="2:4" hidden="1" outlineLevel="2" x14ac:dyDescent="0.3">
      <c r="B1377" s="1132"/>
      <c r="C1377" s="569"/>
      <c r="D1377" s="570"/>
    </row>
    <row r="1378" spans="2:4" hidden="1" outlineLevel="2" x14ac:dyDescent="0.3">
      <c r="B1378" s="1132"/>
      <c r="C1378" s="569"/>
      <c r="D1378" s="570"/>
    </row>
    <row r="1379" spans="2:4" hidden="1" outlineLevel="2" x14ac:dyDescent="0.3">
      <c r="B1379" s="1132"/>
      <c r="C1379" s="569"/>
      <c r="D1379" s="570"/>
    </row>
    <row r="1380" spans="2:4" hidden="1" outlineLevel="2" x14ac:dyDescent="0.3">
      <c r="B1380" s="1132"/>
      <c r="C1380" s="569"/>
      <c r="D1380" s="570"/>
    </row>
    <row r="1381" spans="2:4" hidden="1" outlineLevel="2" x14ac:dyDescent="0.3">
      <c r="B1381" s="1132"/>
      <c r="C1381" s="569"/>
      <c r="D1381" s="570"/>
    </row>
    <row r="1382" spans="2:4" hidden="1" outlineLevel="2" x14ac:dyDescent="0.3">
      <c r="B1382" s="1132"/>
      <c r="C1382" s="569"/>
      <c r="D1382" s="570"/>
    </row>
    <row r="1383" spans="2:4" hidden="1" outlineLevel="2" x14ac:dyDescent="0.3">
      <c r="B1383" s="1132"/>
      <c r="C1383" s="569"/>
      <c r="D1383" s="570"/>
    </row>
    <row r="1384" spans="2:4" hidden="1" outlineLevel="1" x14ac:dyDescent="0.3">
      <c r="B1384" s="1132"/>
      <c r="C1384" s="569"/>
      <c r="D1384" s="570"/>
    </row>
    <row r="1385" spans="2:4" hidden="1" outlineLevel="2" x14ac:dyDescent="0.3">
      <c r="B1385" s="1132"/>
      <c r="C1385" s="569"/>
      <c r="D1385" s="570"/>
    </row>
    <row r="1386" spans="2:4" hidden="1" outlineLevel="2" x14ac:dyDescent="0.3">
      <c r="B1386" s="1132"/>
      <c r="C1386" s="569"/>
      <c r="D1386" s="570"/>
    </row>
    <row r="1387" spans="2:4" hidden="1" outlineLevel="2" x14ac:dyDescent="0.3">
      <c r="B1387" s="1132"/>
      <c r="C1387" s="569"/>
      <c r="D1387" s="570"/>
    </row>
    <row r="1388" spans="2:4" hidden="1" outlineLevel="2" x14ac:dyDescent="0.3">
      <c r="B1388" s="1132"/>
      <c r="C1388" s="569"/>
      <c r="D1388" s="570"/>
    </row>
    <row r="1389" spans="2:4" hidden="1" outlineLevel="2" x14ac:dyDescent="0.3">
      <c r="B1389" s="1132"/>
      <c r="C1389" s="569"/>
      <c r="D1389" s="570"/>
    </row>
    <row r="1390" spans="2:4" hidden="1" outlineLevel="2" x14ac:dyDescent="0.3">
      <c r="B1390" s="1132"/>
      <c r="C1390" s="569"/>
      <c r="D1390" s="570"/>
    </row>
    <row r="1391" spans="2:4" hidden="1" outlineLevel="2" x14ac:dyDescent="0.3">
      <c r="B1391" s="1132"/>
      <c r="C1391" s="569"/>
      <c r="D1391" s="570"/>
    </row>
    <row r="1392" spans="2:4" hidden="1" outlineLevel="2" x14ac:dyDescent="0.3">
      <c r="B1392" s="1132"/>
      <c r="C1392" s="569"/>
      <c r="D1392" s="570"/>
    </row>
    <row r="1393" spans="2:4" hidden="1" outlineLevel="2" x14ac:dyDescent="0.3">
      <c r="B1393" s="1132"/>
      <c r="C1393" s="569"/>
      <c r="D1393" s="570"/>
    </row>
    <row r="1394" spans="2:4" hidden="1" outlineLevel="1" x14ac:dyDescent="0.3">
      <c r="B1394" s="1132"/>
      <c r="C1394" s="569"/>
      <c r="D1394" s="570"/>
    </row>
    <row r="1395" spans="2:4" hidden="1" outlineLevel="2" x14ac:dyDescent="0.3">
      <c r="B1395" s="1132"/>
      <c r="C1395" s="569"/>
      <c r="D1395" s="570"/>
    </row>
    <row r="1396" spans="2:4" hidden="1" outlineLevel="2" x14ac:dyDescent="0.3">
      <c r="B1396" s="1132"/>
      <c r="C1396" s="569"/>
      <c r="D1396" s="570"/>
    </row>
    <row r="1397" spans="2:4" hidden="1" outlineLevel="2" x14ac:dyDescent="0.3">
      <c r="B1397" s="1132"/>
      <c r="C1397" s="569"/>
      <c r="D1397" s="570"/>
    </row>
    <row r="1398" spans="2:4" hidden="1" outlineLevel="2" x14ac:dyDescent="0.3">
      <c r="B1398" s="1132"/>
      <c r="C1398" s="569"/>
      <c r="D1398" s="570"/>
    </row>
    <row r="1399" spans="2:4" hidden="1" outlineLevel="2" x14ac:dyDescent="0.3">
      <c r="B1399" s="1132"/>
      <c r="C1399" s="569"/>
      <c r="D1399" s="570"/>
    </row>
    <row r="1400" spans="2:4" hidden="1" outlineLevel="2" x14ac:dyDescent="0.3">
      <c r="B1400" s="1132"/>
      <c r="C1400" s="569"/>
      <c r="D1400" s="570"/>
    </row>
    <row r="1401" spans="2:4" hidden="1" outlineLevel="2" x14ac:dyDescent="0.3">
      <c r="B1401" s="1132"/>
      <c r="C1401" s="569"/>
      <c r="D1401" s="570"/>
    </row>
    <row r="1402" spans="2:4" hidden="1" outlineLevel="2" x14ac:dyDescent="0.3">
      <c r="B1402" s="1132"/>
      <c r="C1402" s="569"/>
      <c r="D1402" s="570"/>
    </row>
    <row r="1403" spans="2:4" hidden="1" outlineLevel="2" x14ac:dyDescent="0.3">
      <c r="B1403" s="1132"/>
      <c r="C1403" s="569"/>
      <c r="D1403" s="570"/>
    </row>
    <row r="1404" spans="2:4" hidden="1" outlineLevel="1" x14ac:dyDescent="0.3">
      <c r="B1404" s="1132"/>
      <c r="C1404" s="569"/>
      <c r="D1404" s="570"/>
    </row>
    <row r="1405" spans="2:4" hidden="1" outlineLevel="2" x14ac:dyDescent="0.3">
      <c r="B1405" s="1132"/>
      <c r="C1405" s="569"/>
      <c r="D1405" s="570"/>
    </row>
    <row r="1406" spans="2:4" hidden="1" outlineLevel="2" x14ac:dyDescent="0.3">
      <c r="B1406" s="1132"/>
      <c r="C1406" s="569"/>
      <c r="D1406" s="570"/>
    </row>
    <row r="1407" spans="2:4" hidden="1" outlineLevel="2" x14ac:dyDescent="0.3">
      <c r="B1407" s="1132"/>
      <c r="C1407" s="569"/>
      <c r="D1407" s="570"/>
    </row>
    <row r="1408" spans="2:4" hidden="1" outlineLevel="2" x14ac:dyDescent="0.3">
      <c r="B1408" s="1132"/>
      <c r="C1408" s="569"/>
      <c r="D1408" s="570"/>
    </row>
    <row r="1409" spans="2:4" hidden="1" outlineLevel="2" x14ac:dyDescent="0.3">
      <c r="B1409" s="1132"/>
      <c r="C1409" s="569"/>
      <c r="D1409" s="570"/>
    </row>
    <row r="1410" spans="2:4" hidden="1" outlineLevel="2" x14ac:dyDescent="0.3">
      <c r="B1410" s="1132"/>
      <c r="C1410" s="569"/>
      <c r="D1410" s="570"/>
    </row>
    <row r="1411" spans="2:4" hidden="1" outlineLevel="2" x14ac:dyDescent="0.3">
      <c r="B1411" s="1132"/>
      <c r="C1411" s="569"/>
      <c r="D1411" s="570"/>
    </row>
    <row r="1412" spans="2:4" hidden="1" outlineLevel="2" x14ac:dyDescent="0.3">
      <c r="B1412" s="1132"/>
      <c r="C1412" s="569"/>
      <c r="D1412" s="570"/>
    </row>
    <row r="1413" spans="2:4" hidden="1" outlineLevel="2" x14ac:dyDescent="0.3">
      <c r="B1413" s="1132"/>
      <c r="C1413" s="569"/>
      <c r="D1413" s="570"/>
    </row>
    <row r="1414" spans="2:4" hidden="1" outlineLevel="1" x14ac:dyDescent="0.3">
      <c r="B1414" s="1132"/>
      <c r="C1414" s="569"/>
      <c r="D1414" s="570"/>
    </row>
    <row r="1415" spans="2:4" hidden="1" outlineLevel="2" x14ac:dyDescent="0.3">
      <c r="B1415" s="1132"/>
      <c r="C1415" s="569"/>
      <c r="D1415" s="570"/>
    </row>
    <row r="1416" spans="2:4" hidden="1" outlineLevel="2" x14ac:dyDescent="0.3">
      <c r="B1416" s="1132"/>
      <c r="C1416" s="569"/>
      <c r="D1416" s="570"/>
    </row>
    <row r="1417" spans="2:4" hidden="1" outlineLevel="2" x14ac:dyDescent="0.3">
      <c r="B1417" s="1132"/>
      <c r="C1417" s="569"/>
      <c r="D1417" s="570"/>
    </row>
    <row r="1418" spans="2:4" hidden="1" outlineLevel="2" x14ac:dyDescent="0.3">
      <c r="B1418" s="1132"/>
      <c r="C1418" s="569"/>
      <c r="D1418" s="570"/>
    </row>
    <row r="1419" spans="2:4" hidden="1" outlineLevel="2" x14ac:dyDescent="0.3">
      <c r="B1419" s="1132"/>
      <c r="C1419" s="569"/>
      <c r="D1419" s="570"/>
    </row>
    <row r="1420" spans="2:4" hidden="1" outlineLevel="2" x14ac:dyDescent="0.3">
      <c r="B1420" s="1132"/>
      <c r="C1420" s="569"/>
      <c r="D1420" s="570"/>
    </row>
    <row r="1421" spans="2:4" hidden="1" outlineLevel="2" x14ac:dyDescent="0.3">
      <c r="B1421" s="1132"/>
      <c r="C1421" s="569"/>
      <c r="D1421" s="570"/>
    </row>
    <row r="1422" spans="2:4" hidden="1" outlineLevel="2" x14ac:dyDescent="0.3">
      <c r="B1422" s="1132"/>
      <c r="C1422" s="569"/>
      <c r="D1422" s="570"/>
    </row>
    <row r="1423" spans="2:4" hidden="1" outlineLevel="2" x14ac:dyDescent="0.3">
      <c r="B1423" s="1132"/>
      <c r="C1423" s="569"/>
      <c r="D1423" s="570"/>
    </row>
    <row r="1424" spans="2:4" hidden="1" outlineLevel="1" x14ac:dyDescent="0.3">
      <c r="B1424" s="1132"/>
      <c r="C1424" s="569"/>
      <c r="D1424" s="570"/>
    </row>
    <row r="1425" spans="2:4" hidden="1" outlineLevel="2" x14ac:dyDescent="0.3">
      <c r="B1425" s="1132"/>
      <c r="C1425" s="569"/>
      <c r="D1425" s="570"/>
    </row>
    <row r="1426" spans="2:4" hidden="1" outlineLevel="2" x14ac:dyDescent="0.3">
      <c r="B1426" s="1132"/>
      <c r="C1426" s="569"/>
      <c r="D1426" s="570"/>
    </row>
    <row r="1427" spans="2:4" hidden="1" outlineLevel="2" x14ac:dyDescent="0.3">
      <c r="B1427" s="1132"/>
      <c r="C1427" s="569"/>
      <c r="D1427" s="570"/>
    </row>
    <row r="1428" spans="2:4" hidden="1" outlineLevel="2" x14ac:dyDescent="0.3">
      <c r="B1428" s="1132"/>
      <c r="C1428" s="569"/>
      <c r="D1428" s="570"/>
    </row>
    <row r="1429" spans="2:4" hidden="1" outlineLevel="2" x14ac:dyDescent="0.3">
      <c r="B1429" s="1132"/>
      <c r="C1429" s="569"/>
      <c r="D1429" s="570"/>
    </row>
    <row r="1430" spans="2:4" hidden="1" outlineLevel="2" x14ac:dyDescent="0.3">
      <c r="B1430" s="1132"/>
      <c r="C1430" s="569"/>
      <c r="D1430" s="570"/>
    </row>
    <row r="1431" spans="2:4" hidden="1" outlineLevel="2" x14ac:dyDescent="0.3">
      <c r="B1431" s="1132"/>
      <c r="C1431" s="569"/>
      <c r="D1431" s="570"/>
    </row>
    <row r="1432" spans="2:4" hidden="1" outlineLevel="2" x14ac:dyDescent="0.3">
      <c r="B1432" s="1132"/>
      <c r="C1432" s="569"/>
      <c r="D1432" s="570"/>
    </row>
    <row r="1433" spans="2:4" hidden="1" outlineLevel="2" x14ac:dyDescent="0.3">
      <c r="B1433" s="1132"/>
      <c r="C1433" s="569"/>
      <c r="D1433" s="570"/>
    </row>
    <row r="1434" spans="2:4" hidden="1" outlineLevel="1" x14ac:dyDescent="0.3">
      <c r="B1434" s="1132"/>
      <c r="C1434" s="569"/>
      <c r="D1434" s="570"/>
    </row>
    <row r="1435" spans="2:4" hidden="1" outlineLevel="2" x14ac:dyDescent="0.3">
      <c r="B1435" s="1132"/>
      <c r="C1435" s="569"/>
      <c r="D1435" s="570"/>
    </row>
    <row r="1436" spans="2:4" hidden="1" outlineLevel="2" x14ac:dyDescent="0.3">
      <c r="B1436" s="1132"/>
      <c r="C1436" s="569"/>
      <c r="D1436" s="570"/>
    </row>
    <row r="1437" spans="2:4" hidden="1" outlineLevel="2" x14ac:dyDescent="0.3">
      <c r="B1437" s="1132"/>
      <c r="C1437" s="569"/>
      <c r="D1437" s="570"/>
    </row>
    <row r="1438" spans="2:4" hidden="1" outlineLevel="2" x14ac:dyDescent="0.3">
      <c r="B1438" s="1132"/>
      <c r="C1438" s="569"/>
      <c r="D1438" s="570"/>
    </row>
    <row r="1439" spans="2:4" hidden="1" outlineLevel="2" x14ac:dyDescent="0.3">
      <c r="B1439" s="1132"/>
      <c r="C1439" s="569"/>
      <c r="D1439" s="570"/>
    </row>
    <row r="1440" spans="2:4" hidden="1" outlineLevel="2" x14ac:dyDescent="0.3">
      <c r="B1440" s="1132"/>
      <c r="C1440" s="569"/>
      <c r="D1440" s="570"/>
    </row>
    <row r="1441" spans="2:4" hidden="1" outlineLevel="2" x14ac:dyDescent="0.3">
      <c r="B1441" s="1132"/>
      <c r="C1441" s="569"/>
      <c r="D1441" s="570"/>
    </row>
    <row r="1442" spans="2:4" hidden="1" outlineLevel="2" x14ac:dyDescent="0.3">
      <c r="B1442" s="1132"/>
      <c r="C1442" s="569"/>
      <c r="D1442" s="570"/>
    </row>
    <row r="1443" spans="2:4" hidden="1" outlineLevel="2" x14ac:dyDescent="0.3">
      <c r="B1443" s="1132"/>
      <c r="C1443" s="569"/>
      <c r="D1443" s="570"/>
    </row>
    <row r="1444" spans="2:4" hidden="1" outlineLevel="1" x14ac:dyDescent="0.3">
      <c r="B1444" s="1132"/>
      <c r="C1444" s="569"/>
      <c r="D1444" s="570"/>
    </row>
    <row r="1445" spans="2:4" hidden="1" outlineLevel="2" x14ac:dyDescent="0.3">
      <c r="B1445" s="1132"/>
      <c r="C1445" s="569"/>
      <c r="D1445" s="570"/>
    </row>
    <row r="1446" spans="2:4" hidden="1" outlineLevel="2" x14ac:dyDescent="0.3">
      <c r="B1446" s="1132"/>
      <c r="C1446" s="569"/>
      <c r="D1446" s="570"/>
    </row>
    <row r="1447" spans="2:4" hidden="1" outlineLevel="2" x14ac:dyDescent="0.3">
      <c r="B1447" s="1132"/>
      <c r="C1447" s="569"/>
      <c r="D1447" s="570"/>
    </row>
    <row r="1448" spans="2:4" hidden="1" outlineLevel="2" x14ac:dyDescent="0.3">
      <c r="B1448" s="1132"/>
      <c r="C1448" s="569"/>
      <c r="D1448" s="570"/>
    </row>
    <row r="1449" spans="2:4" hidden="1" outlineLevel="2" x14ac:dyDescent="0.3">
      <c r="B1449" s="1132"/>
      <c r="C1449" s="569"/>
      <c r="D1449" s="570"/>
    </row>
    <row r="1450" spans="2:4" hidden="1" outlineLevel="2" x14ac:dyDescent="0.3">
      <c r="B1450" s="1132"/>
      <c r="C1450" s="569"/>
      <c r="D1450" s="570"/>
    </row>
    <row r="1451" spans="2:4" hidden="1" outlineLevel="2" x14ac:dyDescent="0.3">
      <c r="B1451" s="1132"/>
      <c r="C1451" s="569"/>
      <c r="D1451" s="570"/>
    </row>
    <row r="1452" spans="2:4" hidden="1" outlineLevel="2" x14ac:dyDescent="0.3">
      <c r="B1452" s="1132"/>
      <c r="C1452" s="569"/>
      <c r="D1452" s="570"/>
    </row>
    <row r="1453" spans="2:4" hidden="1" outlineLevel="2" x14ac:dyDescent="0.3">
      <c r="B1453" s="1132"/>
      <c r="C1453" s="569"/>
      <c r="D1453" s="570"/>
    </row>
    <row r="1454" spans="2:4" hidden="1" outlineLevel="1" x14ac:dyDescent="0.3">
      <c r="B1454" s="1132"/>
      <c r="C1454" s="569"/>
      <c r="D1454" s="570"/>
    </row>
    <row r="1455" spans="2:4" hidden="1" outlineLevel="2" x14ac:dyDescent="0.3">
      <c r="B1455" s="1132"/>
      <c r="C1455" s="569"/>
      <c r="D1455" s="570"/>
    </row>
    <row r="1456" spans="2:4" hidden="1" outlineLevel="2" x14ac:dyDescent="0.3">
      <c r="B1456" s="1132"/>
      <c r="C1456" s="569"/>
      <c r="D1456" s="570"/>
    </row>
    <row r="1457" spans="2:4" hidden="1" outlineLevel="2" x14ac:dyDescent="0.3">
      <c r="B1457" s="1132"/>
      <c r="C1457" s="569"/>
      <c r="D1457" s="570"/>
    </row>
    <row r="1458" spans="2:4" hidden="1" outlineLevel="2" x14ac:dyDescent="0.3">
      <c r="B1458" s="1132"/>
      <c r="C1458" s="569"/>
      <c r="D1458" s="570"/>
    </row>
    <row r="1459" spans="2:4" hidden="1" outlineLevel="2" x14ac:dyDescent="0.3">
      <c r="B1459" s="1132"/>
      <c r="C1459" s="569"/>
      <c r="D1459" s="570"/>
    </row>
    <row r="1460" spans="2:4" hidden="1" outlineLevel="2" x14ac:dyDescent="0.3">
      <c r="B1460" s="1132"/>
      <c r="C1460" s="569"/>
      <c r="D1460" s="570"/>
    </row>
    <row r="1461" spans="2:4" hidden="1" outlineLevel="2" x14ac:dyDescent="0.3">
      <c r="B1461" s="1132"/>
      <c r="C1461" s="569"/>
      <c r="D1461" s="570"/>
    </row>
    <row r="1462" spans="2:4" hidden="1" outlineLevel="2" x14ac:dyDescent="0.3">
      <c r="B1462" s="1132"/>
      <c r="C1462" s="569"/>
      <c r="D1462" s="570"/>
    </row>
    <row r="1463" spans="2:4" hidden="1" outlineLevel="2" x14ac:dyDescent="0.3">
      <c r="B1463" s="1132"/>
      <c r="C1463" s="569"/>
      <c r="D1463" s="570"/>
    </row>
    <row r="1464" spans="2:4" hidden="1" outlineLevel="1" x14ac:dyDescent="0.3">
      <c r="B1464" s="1132"/>
      <c r="C1464" s="569"/>
      <c r="D1464" s="570"/>
    </row>
    <row r="1465" spans="2:4" hidden="1" outlineLevel="2" x14ac:dyDescent="0.3">
      <c r="B1465" s="1132"/>
      <c r="C1465" s="569"/>
      <c r="D1465" s="570"/>
    </row>
    <row r="1466" spans="2:4" hidden="1" outlineLevel="2" x14ac:dyDescent="0.3">
      <c r="B1466" s="1132"/>
      <c r="C1466" s="569"/>
      <c r="D1466" s="570"/>
    </row>
    <row r="1467" spans="2:4" hidden="1" outlineLevel="2" x14ac:dyDescent="0.3">
      <c r="B1467" s="1132"/>
      <c r="C1467" s="569"/>
      <c r="D1467" s="570"/>
    </row>
    <row r="1468" spans="2:4" hidden="1" outlineLevel="2" x14ac:dyDescent="0.3">
      <c r="B1468" s="1132"/>
      <c r="C1468" s="569"/>
      <c r="D1468" s="570"/>
    </row>
    <row r="1469" spans="2:4" hidden="1" outlineLevel="2" x14ac:dyDescent="0.3">
      <c r="B1469" s="1132"/>
      <c r="C1469" s="569"/>
      <c r="D1469" s="570"/>
    </row>
    <row r="1470" spans="2:4" hidden="1" outlineLevel="2" x14ac:dyDescent="0.3">
      <c r="B1470" s="1132"/>
      <c r="C1470" s="569"/>
      <c r="D1470" s="570"/>
    </row>
    <row r="1471" spans="2:4" hidden="1" outlineLevel="2" x14ac:dyDescent="0.3">
      <c r="B1471" s="1132"/>
      <c r="C1471" s="569"/>
      <c r="D1471" s="570"/>
    </row>
    <row r="1472" spans="2:4" hidden="1" outlineLevel="2" x14ac:dyDescent="0.3">
      <c r="B1472" s="1132"/>
      <c r="C1472" s="569"/>
      <c r="D1472" s="570"/>
    </row>
    <row r="1473" spans="2:4" hidden="1" outlineLevel="2" x14ac:dyDescent="0.3">
      <c r="B1473" s="1132"/>
      <c r="C1473" s="569"/>
      <c r="D1473" s="570"/>
    </row>
    <row r="1474" spans="2:4" hidden="1" outlineLevel="1" x14ac:dyDescent="0.3">
      <c r="B1474" s="1132"/>
      <c r="C1474" s="569"/>
      <c r="D1474" s="570"/>
    </row>
    <row r="1475" spans="2:4" hidden="1" outlineLevel="2" x14ac:dyDescent="0.3">
      <c r="B1475" s="1132"/>
      <c r="C1475" s="569"/>
      <c r="D1475" s="570"/>
    </row>
    <row r="1476" spans="2:4" hidden="1" outlineLevel="2" x14ac:dyDescent="0.3">
      <c r="B1476" s="1132"/>
      <c r="C1476" s="569"/>
      <c r="D1476" s="570"/>
    </row>
    <row r="1477" spans="2:4" hidden="1" outlineLevel="2" x14ac:dyDescent="0.3">
      <c r="B1477" s="1132"/>
      <c r="C1477" s="569"/>
      <c r="D1477" s="570"/>
    </row>
    <row r="1478" spans="2:4" hidden="1" outlineLevel="2" x14ac:dyDescent="0.3">
      <c r="B1478" s="1132"/>
      <c r="C1478" s="569"/>
      <c r="D1478" s="570"/>
    </row>
    <row r="1479" spans="2:4" hidden="1" outlineLevel="2" x14ac:dyDescent="0.3">
      <c r="B1479" s="1132"/>
      <c r="C1479" s="569"/>
      <c r="D1479" s="570"/>
    </row>
    <row r="1480" spans="2:4" hidden="1" outlineLevel="2" x14ac:dyDescent="0.3">
      <c r="B1480" s="1132"/>
      <c r="C1480" s="569"/>
      <c r="D1480" s="570"/>
    </row>
    <row r="1481" spans="2:4" hidden="1" outlineLevel="2" x14ac:dyDescent="0.3">
      <c r="B1481" s="1132"/>
      <c r="C1481" s="569"/>
      <c r="D1481" s="570"/>
    </row>
    <row r="1482" spans="2:4" hidden="1" outlineLevel="2" x14ac:dyDescent="0.3">
      <c r="B1482" s="1132"/>
      <c r="C1482" s="569"/>
      <c r="D1482" s="570"/>
    </row>
    <row r="1483" spans="2:4" hidden="1" outlineLevel="2" x14ac:dyDescent="0.3">
      <c r="B1483" s="1132"/>
      <c r="C1483" s="569"/>
      <c r="D1483" s="570"/>
    </row>
    <row r="1484" spans="2:4" hidden="1" outlineLevel="1" x14ac:dyDescent="0.3">
      <c r="B1484" s="1132"/>
      <c r="C1484" s="569"/>
      <c r="D1484" s="570"/>
    </row>
    <row r="1485" spans="2:4" hidden="1" outlineLevel="2" x14ac:dyDescent="0.3">
      <c r="B1485" s="1132"/>
      <c r="C1485" s="569"/>
      <c r="D1485" s="570"/>
    </row>
    <row r="1486" spans="2:4" hidden="1" outlineLevel="2" x14ac:dyDescent="0.3">
      <c r="B1486" s="1132"/>
      <c r="C1486" s="569"/>
      <c r="D1486" s="570"/>
    </row>
    <row r="1487" spans="2:4" hidden="1" outlineLevel="2" x14ac:dyDescent="0.3">
      <c r="B1487" s="1132"/>
      <c r="C1487" s="569"/>
      <c r="D1487" s="570"/>
    </row>
    <row r="1488" spans="2:4" hidden="1" outlineLevel="2" x14ac:dyDescent="0.3">
      <c r="B1488" s="1132"/>
      <c r="C1488" s="569"/>
      <c r="D1488" s="570"/>
    </row>
    <row r="1489" spans="2:4" hidden="1" outlineLevel="2" x14ac:dyDescent="0.3">
      <c r="B1489" s="1132"/>
      <c r="C1489" s="569"/>
      <c r="D1489" s="570"/>
    </row>
    <row r="1490" spans="2:4" hidden="1" outlineLevel="2" x14ac:dyDescent="0.3">
      <c r="B1490" s="1132"/>
      <c r="C1490" s="569"/>
      <c r="D1490" s="570"/>
    </row>
    <row r="1491" spans="2:4" hidden="1" outlineLevel="2" x14ac:dyDescent="0.3">
      <c r="B1491" s="1132"/>
      <c r="C1491" s="569"/>
      <c r="D1491" s="570"/>
    </row>
    <row r="1492" spans="2:4" hidden="1" outlineLevel="2" x14ac:dyDescent="0.3">
      <c r="B1492" s="1132"/>
      <c r="C1492" s="569"/>
      <c r="D1492" s="570"/>
    </row>
    <row r="1493" spans="2:4" hidden="1" outlineLevel="2" x14ac:dyDescent="0.3">
      <c r="B1493" s="1132"/>
      <c r="C1493" s="569"/>
      <c r="D1493" s="570"/>
    </row>
    <row r="1494" spans="2:4" hidden="1" outlineLevel="1" x14ac:dyDescent="0.3">
      <c r="B1494" s="1132"/>
      <c r="C1494" s="569"/>
      <c r="D1494" s="570"/>
    </row>
    <row r="1495" spans="2:4" hidden="1" outlineLevel="2" x14ac:dyDescent="0.3">
      <c r="B1495" s="1132"/>
      <c r="C1495" s="569"/>
      <c r="D1495" s="570"/>
    </row>
    <row r="1496" spans="2:4" hidden="1" outlineLevel="2" x14ac:dyDescent="0.3">
      <c r="B1496" s="1132"/>
      <c r="C1496" s="569"/>
      <c r="D1496" s="570"/>
    </row>
    <row r="1497" spans="2:4" hidden="1" outlineLevel="2" x14ac:dyDescent="0.3">
      <c r="B1497" s="1132"/>
      <c r="C1497" s="569"/>
      <c r="D1497" s="570"/>
    </row>
    <row r="1498" spans="2:4" hidden="1" outlineLevel="2" x14ac:dyDescent="0.3">
      <c r="B1498" s="1132"/>
      <c r="C1498" s="569"/>
      <c r="D1498" s="570"/>
    </row>
    <row r="1499" spans="2:4" hidden="1" outlineLevel="2" x14ac:dyDescent="0.3">
      <c r="B1499" s="1132"/>
      <c r="C1499" s="569"/>
      <c r="D1499" s="570"/>
    </row>
    <row r="1500" spans="2:4" hidden="1" outlineLevel="2" x14ac:dyDescent="0.3">
      <c r="B1500" s="1132"/>
      <c r="C1500" s="569"/>
      <c r="D1500" s="570"/>
    </row>
    <row r="1501" spans="2:4" hidden="1" outlineLevel="2" x14ac:dyDescent="0.3">
      <c r="B1501" s="1132"/>
      <c r="C1501" s="569"/>
      <c r="D1501" s="570"/>
    </row>
    <row r="1502" spans="2:4" hidden="1" outlineLevel="2" x14ac:dyDescent="0.3">
      <c r="B1502" s="1132"/>
      <c r="C1502" s="569"/>
      <c r="D1502" s="570"/>
    </row>
    <row r="1503" spans="2:4" hidden="1" outlineLevel="2" x14ac:dyDescent="0.3">
      <c r="B1503" s="1132"/>
      <c r="C1503" s="569"/>
      <c r="D1503" s="570"/>
    </row>
    <row r="1504" spans="2:4" hidden="1" outlineLevel="1" x14ac:dyDescent="0.3">
      <c r="B1504" s="1132"/>
      <c r="C1504" s="569"/>
      <c r="D1504" s="570"/>
    </row>
    <row r="1505" spans="2:4" hidden="1" outlineLevel="2" x14ac:dyDescent="0.3">
      <c r="B1505" s="1132"/>
      <c r="C1505" s="569"/>
      <c r="D1505" s="570"/>
    </row>
    <row r="1506" spans="2:4" hidden="1" outlineLevel="2" x14ac:dyDescent="0.3">
      <c r="B1506" s="1132"/>
      <c r="C1506" s="569"/>
      <c r="D1506" s="570"/>
    </row>
    <row r="1507" spans="2:4" hidden="1" outlineLevel="2" x14ac:dyDescent="0.3">
      <c r="B1507" s="1132"/>
      <c r="C1507" s="569"/>
      <c r="D1507" s="570"/>
    </row>
    <row r="1508" spans="2:4" hidden="1" outlineLevel="2" x14ac:dyDescent="0.3">
      <c r="B1508" s="1132"/>
      <c r="C1508" s="569"/>
      <c r="D1508" s="570"/>
    </row>
    <row r="1509" spans="2:4" hidden="1" outlineLevel="2" x14ac:dyDescent="0.3">
      <c r="B1509" s="1132"/>
      <c r="C1509" s="569"/>
      <c r="D1509" s="570"/>
    </row>
    <row r="1510" spans="2:4" hidden="1" outlineLevel="2" x14ac:dyDescent="0.3">
      <c r="B1510" s="1132"/>
      <c r="C1510" s="569"/>
      <c r="D1510" s="570"/>
    </row>
    <row r="1511" spans="2:4" hidden="1" outlineLevel="2" x14ac:dyDescent="0.3">
      <c r="B1511" s="1132"/>
      <c r="C1511" s="569"/>
      <c r="D1511" s="570"/>
    </row>
    <row r="1512" spans="2:4" hidden="1" outlineLevel="2" x14ac:dyDescent="0.3">
      <c r="B1512" s="1132"/>
      <c r="C1512" s="569"/>
      <c r="D1512" s="570"/>
    </row>
    <row r="1513" spans="2:4" hidden="1" outlineLevel="2" x14ac:dyDescent="0.3">
      <c r="B1513" s="1132"/>
      <c r="C1513" s="569"/>
      <c r="D1513" s="570"/>
    </row>
    <row r="1514" spans="2:4" hidden="1" outlineLevel="1" x14ac:dyDescent="0.3">
      <c r="B1514" s="1132"/>
      <c r="C1514" s="569"/>
      <c r="D1514" s="570"/>
    </row>
    <row r="1515" spans="2:4" hidden="1" outlineLevel="2" x14ac:dyDescent="0.3">
      <c r="B1515" s="1132"/>
      <c r="C1515" s="569"/>
      <c r="D1515" s="570"/>
    </row>
    <row r="1516" spans="2:4" hidden="1" outlineLevel="2" x14ac:dyDescent="0.3">
      <c r="B1516" s="1132"/>
      <c r="C1516" s="569"/>
      <c r="D1516" s="570"/>
    </row>
    <row r="1517" spans="2:4" hidden="1" outlineLevel="2" x14ac:dyDescent="0.3">
      <c r="B1517" s="1132"/>
      <c r="C1517" s="569"/>
      <c r="D1517" s="570"/>
    </row>
    <row r="1518" spans="2:4" hidden="1" outlineLevel="2" x14ac:dyDescent="0.3">
      <c r="B1518" s="1132"/>
      <c r="C1518" s="569"/>
      <c r="D1518" s="570"/>
    </row>
    <row r="1519" spans="2:4" hidden="1" outlineLevel="2" x14ac:dyDescent="0.3">
      <c r="B1519" s="1132"/>
      <c r="C1519" s="569"/>
      <c r="D1519" s="570"/>
    </row>
    <row r="1520" spans="2:4" hidden="1" outlineLevel="2" x14ac:dyDescent="0.3">
      <c r="B1520" s="1132"/>
      <c r="C1520" s="569"/>
      <c r="D1520" s="570"/>
    </row>
    <row r="1521" spans="1:10" hidden="1" outlineLevel="2" x14ac:dyDescent="0.3">
      <c r="B1521" s="1132"/>
      <c r="C1521" s="569"/>
      <c r="D1521" s="570"/>
    </row>
    <row r="1522" spans="1:10" hidden="1" outlineLevel="2" x14ac:dyDescent="0.3">
      <c r="B1522" s="1132"/>
      <c r="C1522" s="569"/>
      <c r="D1522" s="570"/>
    </row>
    <row r="1523" spans="1:10" ht="15" hidden="1" outlineLevel="2" thickBot="1" x14ac:dyDescent="0.35">
      <c r="B1523" s="1132"/>
      <c r="C1523" s="569"/>
      <c r="D1523" s="570"/>
    </row>
    <row r="1524" spans="1:10" ht="15" hidden="1" outlineLevel="1" thickBot="1" x14ac:dyDescent="0.35">
      <c r="B1524" s="568"/>
      <c r="C1524" s="549"/>
      <c r="D1524" s="550"/>
      <c r="E1524" s="44"/>
    </row>
    <row r="1525" spans="1:10" ht="79.2" customHeight="1" collapsed="1" thickBot="1" x14ac:dyDescent="0.35">
      <c r="A1525" s="566" t="s">
        <v>1</v>
      </c>
      <c r="B1525" s="567" t="str">
        <f>template_footnote_expansion_button</f>
        <v>Cliquez sur le bouton d’extension à gauche si vous souhaitez ajouter plus de notes de bas de page</v>
      </c>
      <c r="C1525" s="565"/>
      <c r="D1525" s="552"/>
      <c r="E1525" s="551"/>
      <c r="F1525" s="551"/>
      <c r="G1525" s="551"/>
      <c r="H1525" s="551"/>
      <c r="I1525" s="551"/>
      <c r="J1525" s="551"/>
    </row>
  </sheetData>
  <sheetProtection algorithmName="SHA-512" hashValue="L8N1NCBtH2DuMXyZ3yGqPu7/oJh53ekm7KNl56GTQKnpl+B/NXpb/5x2mFIlRhJxkA1An/Bm/ewEWYy49iRdFw==" saltValue="0oZxeQgFegsLKqpdu3/kPg==" spinCount="100000" sheet="1" objects="1" scenarios="1" formatCells="0" formatColumns="0" formatRows="0" insertColumns="0" insertRows="0" insertHyperlinks="0"/>
  <mergeCells count="155">
    <mergeCell ref="B1444:B1453"/>
    <mergeCell ref="B1454:B1463"/>
    <mergeCell ref="B1464:B1473"/>
    <mergeCell ref="B1414:B1423"/>
    <mergeCell ref="B1424:B1433"/>
    <mergeCell ref="B1434:B1443"/>
    <mergeCell ref="B1504:B1513"/>
    <mergeCell ref="B1514:B1523"/>
    <mergeCell ref="B1474:B1483"/>
    <mergeCell ref="B1484:B1493"/>
    <mergeCell ref="B1494:B1503"/>
    <mergeCell ref="B1324:B1333"/>
    <mergeCell ref="B1334:B1343"/>
    <mergeCell ref="B1344:B1353"/>
    <mergeCell ref="B1294:B1303"/>
    <mergeCell ref="B1304:B1313"/>
    <mergeCell ref="B1314:B1323"/>
    <mergeCell ref="B1384:B1393"/>
    <mergeCell ref="B1394:B1403"/>
    <mergeCell ref="B1404:B1413"/>
    <mergeCell ref="B1354:B1363"/>
    <mergeCell ref="B1364:B1373"/>
    <mergeCell ref="B1374:B1383"/>
    <mergeCell ref="B1204:B1213"/>
    <mergeCell ref="B1214:B1223"/>
    <mergeCell ref="B1224:B1233"/>
    <mergeCell ref="B1174:B1183"/>
    <mergeCell ref="B1184:B1193"/>
    <mergeCell ref="B1194:B1203"/>
    <mergeCell ref="B1264:B1273"/>
    <mergeCell ref="B1274:B1283"/>
    <mergeCell ref="B1284:B1293"/>
    <mergeCell ref="B1234:B1243"/>
    <mergeCell ref="B1244:B1253"/>
    <mergeCell ref="B1254:B1263"/>
    <mergeCell ref="B1084:B1093"/>
    <mergeCell ref="B1094:B1103"/>
    <mergeCell ref="B1104:B1113"/>
    <mergeCell ref="B1054:B1063"/>
    <mergeCell ref="B1064:B1073"/>
    <mergeCell ref="B1074:B1083"/>
    <mergeCell ref="B1144:B1153"/>
    <mergeCell ref="B1154:B1163"/>
    <mergeCell ref="B1164:B1173"/>
    <mergeCell ref="B1114:B1123"/>
    <mergeCell ref="B1124:B1133"/>
    <mergeCell ref="B1134:B1143"/>
    <mergeCell ref="B964:B973"/>
    <mergeCell ref="B974:B983"/>
    <mergeCell ref="B984:B993"/>
    <mergeCell ref="B934:B943"/>
    <mergeCell ref="B944:B953"/>
    <mergeCell ref="B954:B963"/>
    <mergeCell ref="B1024:B1033"/>
    <mergeCell ref="B1034:B1043"/>
    <mergeCell ref="B1044:B1053"/>
    <mergeCell ref="B994:B1003"/>
    <mergeCell ref="B1004:B1013"/>
    <mergeCell ref="B1014:B1023"/>
    <mergeCell ref="B844:B853"/>
    <mergeCell ref="B854:B863"/>
    <mergeCell ref="B864:B873"/>
    <mergeCell ref="B814:B823"/>
    <mergeCell ref="B824:B833"/>
    <mergeCell ref="B834:B843"/>
    <mergeCell ref="B904:B913"/>
    <mergeCell ref="B914:B923"/>
    <mergeCell ref="B924:B933"/>
    <mergeCell ref="B874:B883"/>
    <mergeCell ref="B884:B893"/>
    <mergeCell ref="B894:B903"/>
    <mergeCell ref="B724:B733"/>
    <mergeCell ref="B734:B743"/>
    <mergeCell ref="B744:B753"/>
    <mergeCell ref="B694:B703"/>
    <mergeCell ref="B704:B713"/>
    <mergeCell ref="B714:B723"/>
    <mergeCell ref="B784:B793"/>
    <mergeCell ref="B794:B803"/>
    <mergeCell ref="B804:B813"/>
    <mergeCell ref="B754:B763"/>
    <mergeCell ref="B764:B773"/>
    <mergeCell ref="B774:B783"/>
    <mergeCell ref="B604:B613"/>
    <mergeCell ref="B614:B623"/>
    <mergeCell ref="B624:B633"/>
    <mergeCell ref="B574:B583"/>
    <mergeCell ref="B584:B593"/>
    <mergeCell ref="B594:B603"/>
    <mergeCell ref="B664:B673"/>
    <mergeCell ref="B674:B683"/>
    <mergeCell ref="B684:B693"/>
    <mergeCell ref="B634:B643"/>
    <mergeCell ref="B644:B653"/>
    <mergeCell ref="B654:B663"/>
    <mergeCell ref="B484:B493"/>
    <mergeCell ref="B494:B503"/>
    <mergeCell ref="B504:B513"/>
    <mergeCell ref="B454:B463"/>
    <mergeCell ref="B464:B473"/>
    <mergeCell ref="B474:B483"/>
    <mergeCell ref="B544:B553"/>
    <mergeCell ref="B554:B563"/>
    <mergeCell ref="B564:B573"/>
    <mergeCell ref="B514:B523"/>
    <mergeCell ref="B524:B533"/>
    <mergeCell ref="B534:B543"/>
    <mergeCell ref="B364:B373"/>
    <mergeCell ref="B374:B383"/>
    <mergeCell ref="B384:B393"/>
    <mergeCell ref="B334:B343"/>
    <mergeCell ref="B344:B353"/>
    <mergeCell ref="B354:B363"/>
    <mergeCell ref="B424:B433"/>
    <mergeCell ref="B434:B443"/>
    <mergeCell ref="B444:B453"/>
    <mergeCell ref="B394:B403"/>
    <mergeCell ref="B404:B413"/>
    <mergeCell ref="B414:B423"/>
    <mergeCell ref="B244:B253"/>
    <mergeCell ref="B254:B263"/>
    <mergeCell ref="B264:B273"/>
    <mergeCell ref="B214:B223"/>
    <mergeCell ref="B224:B233"/>
    <mergeCell ref="B234:B243"/>
    <mergeCell ref="B304:B313"/>
    <mergeCell ref="B314:B323"/>
    <mergeCell ref="B324:B333"/>
    <mergeCell ref="B274:B283"/>
    <mergeCell ref="B284:B293"/>
    <mergeCell ref="B294:B303"/>
    <mergeCell ref="B124:B133"/>
    <mergeCell ref="B134:B143"/>
    <mergeCell ref="B144:B153"/>
    <mergeCell ref="B94:B103"/>
    <mergeCell ref="B104:B113"/>
    <mergeCell ref="B114:B123"/>
    <mergeCell ref="B184:B193"/>
    <mergeCell ref="B194:B203"/>
    <mergeCell ref="B204:B213"/>
    <mergeCell ref="B154:B163"/>
    <mergeCell ref="B164:B173"/>
    <mergeCell ref="B174:B183"/>
    <mergeCell ref="B1:D1"/>
    <mergeCell ref="B2:D2"/>
    <mergeCell ref="E4:Q13"/>
    <mergeCell ref="B4:B13"/>
    <mergeCell ref="B14:B23"/>
    <mergeCell ref="B24:B33"/>
    <mergeCell ref="B64:B73"/>
    <mergeCell ref="B74:B83"/>
    <mergeCell ref="B84:B93"/>
    <mergeCell ref="B34:B43"/>
    <mergeCell ref="B44:B53"/>
    <mergeCell ref="B54:B63"/>
  </mergeCells>
  <dataValidations count="1">
    <dataValidation type="list" allowBlank="1" showInputMessage="1" showErrorMessage="1" sqref="D4:D1523" xr:uid="{EEC87A16-BB54-4FFE-B78C-02BE95583850}">
      <formula1>template_footnote_labels_taxonomy</formula1>
    </dataValidation>
  </dataValidations>
  <pageMargins left="0.7" right="0.7" top="0.75" bottom="0.75" header="0.3" footer="0.3"/>
  <pageSetup paperSize="9"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31E5-D03B-4AF1-8F75-04B53721BB24}">
  <sheetPr codeName="Sheet6">
    <pageSetUpPr autoPageBreaks="0"/>
  </sheetPr>
  <dimension ref="A1:BB140"/>
  <sheetViews>
    <sheetView zoomScaleNormal="100" workbookViewId="0"/>
  </sheetViews>
  <sheetFormatPr baseColWidth="10" defaultColWidth="9.33203125" defaultRowHeight="14.4" x14ac:dyDescent="0.3"/>
  <cols>
    <col min="1" max="1" width="28.5546875" bestFit="1" customWidth="1"/>
    <col min="2" max="2" width="32.44140625" customWidth="1"/>
    <col min="3" max="3" width="19.6640625" style="10" bestFit="1" customWidth="1"/>
    <col min="4" max="4" width="17.6640625" style="10" bestFit="1" customWidth="1"/>
    <col min="5" max="5" width="21.33203125" style="10" bestFit="1" customWidth="1"/>
    <col min="6" max="6" width="24.109375" style="10" bestFit="1" customWidth="1"/>
    <col min="7" max="7" width="33.109375" style="10" bestFit="1" customWidth="1"/>
    <col min="8" max="8" width="32.33203125" style="10" customWidth="1"/>
    <col min="9" max="9" width="20.5546875" style="10" customWidth="1"/>
    <col min="10" max="10" width="23.5546875" style="10" customWidth="1"/>
    <col min="11" max="11" width="14.6640625" style="10" customWidth="1"/>
    <col min="12" max="12" width="24.5546875" style="10" customWidth="1"/>
    <col min="13" max="13" width="25" style="10" customWidth="1"/>
    <col min="14" max="14" width="67.5546875" style="10" hidden="1" customWidth="1"/>
    <col min="15" max="15" width="24.33203125" style="10" hidden="1" customWidth="1"/>
    <col min="16" max="16" width="24.5546875" style="10" hidden="1" customWidth="1"/>
    <col min="17" max="17" width="25" style="10" hidden="1" customWidth="1"/>
    <col min="18" max="18" width="62.33203125" style="10" hidden="1" customWidth="1"/>
    <col min="19" max="19" width="22.6640625" style="10" hidden="1" customWidth="1"/>
    <col min="20" max="20" width="24.5546875" style="10" hidden="1" customWidth="1"/>
    <col min="21" max="21" width="25" style="10" hidden="1" customWidth="1"/>
    <col min="22" max="22" width="34.5546875" style="10" hidden="1" customWidth="1"/>
    <col min="23" max="23" width="23.5546875" style="10" hidden="1" customWidth="1"/>
    <col min="24" max="24" width="24.5546875" style="10" hidden="1" customWidth="1"/>
    <col min="25" max="25" width="25" style="10" hidden="1" customWidth="1"/>
    <col min="26" max="26" width="33.5546875" style="10" hidden="1" customWidth="1"/>
    <col min="27" max="27" width="30.5546875" style="10" hidden="1" customWidth="1"/>
    <col min="28" max="28" width="41.33203125" style="10" hidden="1" customWidth="1"/>
    <col min="29" max="29" width="25" style="10" hidden="1" customWidth="1"/>
    <col min="30" max="30" width="46.44140625" style="10" hidden="1" customWidth="1"/>
    <col min="31" max="31" width="27" style="10" hidden="1" customWidth="1"/>
    <col min="32" max="32" width="33.88671875" style="10" hidden="1" customWidth="1"/>
    <col min="33" max="33" width="25" style="10" hidden="1" customWidth="1"/>
    <col min="34" max="34" width="42" style="10" hidden="1" customWidth="1"/>
    <col min="35" max="35" width="29.6640625" style="10" hidden="1" customWidth="1"/>
    <col min="36" max="36" width="31.33203125" style="10" hidden="1" customWidth="1"/>
    <col min="37" max="37" width="25" style="10" hidden="1" customWidth="1"/>
    <col min="38" max="38" width="39.6640625" hidden="1" customWidth="1"/>
    <col min="39" max="39" width="26" style="10" hidden="1" customWidth="1"/>
    <col min="40" max="40" width="24.5546875" hidden="1" customWidth="1"/>
    <col min="41" max="41" width="25" hidden="1" customWidth="1"/>
    <col min="42" max="42" width="42.44140625" hidden="1" customWidth="1"/>
    <col min="43" max="43" width="29.88671875" style="10" hidden="1" customWidth="1"/>
    <col min="44" max="44" width="38.6640625" style="10" hidden="1" customWidth="1"/>
    <col min="45" max="45" width="25" style="10" hidden="1" customWidth="1"/>
    <col min="46" max="46" width="45.6640625" style="10" hidden="1" customWidth="1"/>
    <col min="47" max="47" width="32.5546875" style="10" hidden="1" customWidth="1"/>
    <col min="48" max="48" width="38.44140625" style="10" hidden="1" customWidth="1"/>
    <col min="49" max="49" width="24.6640625" style="10" hidden="1" customWidth="1"/>
    <col min="50" max="50" width="50.109375" style="10" hidden="1" customWidth="1"/>
    <col min="51" max="51" width="1.109375" style="10" hidden="1" customWidth="1"/>
    <col min="52" max="52" width="0.44140625" style="10" hidden="1" customWidth="1"/>
    <col min="53" max="53" width="0.6640625" style="10" hidden="1" customWidth="1"/>
    <col min="54" max="54" width="9.33203125" style="10" hidden="1" customWidth="1"/>
    <col min="55" max="16384" width="9.33203125" style="10"/>
  </cols>
  <sheetData>
    <row r="1" spans="1:53" ht="28.5" customHeight="1" thickTop="1" thickBot="1" x14ac:dyDescent="0.45">
      <c r="A1" s="319" t="str">
        <f>template_label_fuel_converter</f>
        <v>CONVERTISSEUR DE CARBURANT</v>
      </c>
      <c r="B1" s="10"/>
      <c r="AL1" s="10"/>
      <c r="AN1" s="10"/>
      <c r="AO1" s="10"/>
      <c r="AP1" s="10"/>
    </row>
    <row r="2" spans="1:53" ht="39.450000000000003" customHeight="1" thickTop="1" x14ac:dyDescent="0.4">
      <c r="A2" s="344" t="str">
        <f>template_label_disclaimer</f>
        <v>AVERTISSEMENT :</v>
      </c>
      <c r="B2" s="10"/>
      <c r="AL2" s="10"/>
      <c r="AN2" s="10"/>
      <c r="AO2" s="10"/>
      <c r="AP2" s="10"/>
    </row>
    <row r="3" spans="1:53" ht="54" customHeight="1" x14ac:dyDescent="0.4">
      <c r="A3" s="1137" t="str">
        <f>template_label_this_converter_is_intended_solely_to_illustrate_how_energy_consumption_in_mwh</f>
        <v>Ce convertisseur est destiné uniquement à illustrer comment la consommation d'énergie (en MWh) peut être calculée à partir de différents types de combustibles. L'EFRAG décline toute responsabilité quant à son contenu ou aux conséquences ou dommages directs, indirects ou accessoires résultant de l’utilisation de ce convertisseur de carburant.</v>
      </c>
      <c r="B3" s="1137"/>
      <c r="C3" s="1137"/>
      <c r="D3" s="1137"/>
      <c r="E3" s="1137"/>
      <c r="F3" s="1137"/>
      <c r="G3" s="1137"/>
      <c r="H3" s="1137"/>
      <c r="I3" s="1137"/>
      <c r="J3" s="1137"/>
      <c r="K3" s="1137"/>
      <c r="AL3" s="10"/>
      <c r="AN3" s="10"/>
      <c r="AO3" s="10"/>
      <c r="AP3" s="10"/>
    </row>
    <row r="4" spans="1:53" ht="42.6" customHeight="1" x14ac:dyDescent="0.4">
      <c r="A4" s="1137" t="str">
        <f>template_label_please_note_that_the_typical_values_for_net_calorific_value_and_density_are_provided_for_each_fuel_type</f>
        <v>Veuillez noter que les valeurs usuelles du pouvoir calorifique net (PCN) et de la densité sont fournies pour chaque type de combustible. Toutefois, ces paramètres peuvent varier en fonction de facteurs tels que les réglementations nationales, les caractéristiques spécifiques des fournisseurs de combustibles ou d’autres circonstances. Il appartient donc aux utilisateurs de saisir ou d’ajuster manuellement les valeurs de PCN et de densité afin de refléter leur situation spécifique.</v>
      </c>
      <c r="B4" s="1137"/>
      <c r="C4" s="1137"/>
      <c r="D4" s="1137"/>
      <c r="E4" s="1137"/>
      <c r="F4" s="1137"/>
      <c r="G4" s="1137"/>
      <c r="H4" s="1137"/>
      <c r="I4" s="1137"/>
      <c r="J4" s="1137"/>
      <c r="K4" s="1137"/>
      <c r="AL4" s="10"/>
      <c r="AN4" s="10"/>
      <c r="AO4" s="10"/>
      <c r="AP4" s="10"/>
    </row>
    <row r="5" spans="1:53" ht="66.599999999999994" customHeight="1" thickBot="1" x14ac:dyDescent="0.45">
      <c r="A5" s="1137" t="str">
        <f>template_label_additionally_users_are_encouraged_to_determine_the_renewability_status_of_each_fuel_based_on_guarantees_of_origin</f>
        <v>De plus, les utilisateurs sont encouragés à déterminer le caractère renouvelable de chaque combustible sur la base des garanties d’origine, conformément à l’article 19 de la directive (UE) 2018/2001 relative à la promotion de l’utilisation de l’énergie produite à partir de sources renouvelables. Le caractère renouvelable indiqué par défaut pour chaque combustible correspond à une hypothèse usuelle et doit, le cas échéant, être ajusté en fonction de la situation géographique ou des circonstances particulières.</v>
      </c>
      <c r="B5" s="1137"/>
      <c r="C5" s="1137"/>
      <c r="D5" s="1137"/>
      <c r="E5" s="1137"/>
      <c r="F5" s="1137"/>
      <c r="G5" s="1137"/>
      <c r="H5" s="1137"/>
      <c r="I5" s="1137"/>
      <c r="J5" s="1137"/>
      <c r="K5" s="1137"/>
      <c r="AL5" s="10"/>
      <c r="AN5" s="10"/>
      <c r="AO5" s="10"/>
      <c r="AP5" s="10"/>
    </row>
    <row r="6" spans="1:53" ht="35.4" customHeight="1" thickBot="1" x14ac:dyDescent="0.35">
      <c r="A6" s="322"/>
      <c r="B6" s="1156" t="str">
        <f>template_label_indicates_that_the_cell_should_be_filled_either_by_selecting_a_value_from_the_dropdown</f>
        <v>Indique que la cellule doit être remplie soit en sélectionnant une valeur dans la liste déroulante (par exemple, le type de carburant ou l’unité de mesure), soit en saisissant un montant.</v>
      </c>
      <c r="C6" s="1157"/>
      <c r="D6" s="1157"/>
      <c r="E6" s="1157"/>
      <c r="F6" s="1158"/>
      <c r="G6" s="323"/>
      <c r="H6" s="321"/>
      <c r="I6" s="321"/>
      <c r="J6" s="321"/>
      <c r="AL6" s="10"/>
      <c r="AN6" s="10"/>
      <c r="AO6" s="10"/>
      <c r="AP6" s="10"/>
    </row>
    <row r="7" spans="1:53" ht="44.4" customHeight="1" thickBot="1" x14ac:dyDescent="0.35">
      <c r="A7" s="324" t="s">
        <v>89</v>
      </c>
      <c r="B7" s="1156" t="str">
        <f>template_label_indicates_that_the_cell_is_automatically_calculated_and_that_no_data_entry_is_required</f>
        <v>Indique que la cellule est calculée automatiquement et qu’aucune saisie de données n’est requise.</v>
      </c>
      <c r="C7" s="1157"/>
      <c r="D7" s="1157"/>
      <c r="E7" s="1157"/>
      <c r="F7" s="1158"/>
      <c r="G7" s="323"/>
      <c r="H7" s="321"/>
      <c r="I7" s="321"/>
      <c r="J7" s="321"/>
      <c r="AL7" s="10"/>
      <c r="AN7" s="10"/>
      <c r="AO7" s="10"/>
      <c r="AP7" s="10"/>
    </row>
    <row r="8" spans="1:53" ht="40.200000000000003" customHeight="1" thickBot="1" x14ac:dyDescent="0.35">
      <c r="A8" s="320"/>
      <c r="B8" s="10"/>
      <c r="AC8" s="325"/>
      <c r="AL8" s="10"/>
      <c r="AN8" s="10"/>
      <c r="AO8" s="10"/>
      <c r="AP8" s="10"/>
    </row>
    <row r="9" spans="1:53" ht="21.6" thickBot="1" x14ac:dyDescent="0.45">
      <c r="A9" s="410" t="str">
        <f>template_label_fuel_type</f>
        <v>Type de carburant</v>
      </c>
      <c r="B9" s="410" t="str">
        <f>template_label_unit_of_measurement</f>
        <v>Unité de mesure</v>
      </c>
      <c r="C9" s="411" t="str">
        <f>template_label_amount</f>
        <v>Montant</v>
      </c>
      <c r="D9" s="411" t="str">
        <f>template_label_state_of_matter</f>
        <v>État de la matière</v>
      </c>
      <c r="E9" s="412" t="str">
        <f>template_label_typical_renewable_state</f>
        <v>État renouvelable type</v>
      </c>
      <c r="F9" s="413" t="str">
        <f>template_label_calculated_energy_in_mwh</f>
        <v>Énergie calculée en MWh</v>
      </c>
      <c r="G9" s="469" t="str">
        <f>template_label_overall_validation_status_validation&amp;":"</f>
        <v>Statut global de validation
:</v>
      </c>
      <c r="H9" s="470" t="str" cm="1">
        <f t="array" ref="H9">_xlfn.IFS(
OR(
COUNTIF(G10:G19,template_label_liquid_warning)&gt;0,
COUNTIF(G10:G19,template_label_gaseous_warning)&gt;0,
COUNTIF(G10:G19,template_label_solid_warning)&gt;0
),
template_label_incomplete,
COUNTBLANK(A10:A19)=10,
"-",
AND(
COUNTIF(G10:G19,template_label_liquid_warning)=0,
COUNTIF(G10:G19,template_label_gaseous_warning)=0,
COUNTIF(G10:G19,template_label_solid_warning)=0,
COUNTBLANK(A10:A19)&lt;&gt;10,
COUNTIF(F10:F19,"-")=10
),
"-",
AND(
COUNTIF(G10:G19,template_label_liquid_warning)=0,
COUNTIF(G10:G19,template_label_gaseous_warning)=0,
COUNTIF(G10:G19,template_label_solid_warning)=0,
COUNTIF(F10:F19,"-")&lt;&gt;10
),
template_label_complete
)</f>
        <v>-</v>
      </c>
      <c r="J9" s="320" t="str">
        <f>template_label_usage_of_fuel_converter</f>
        <v>Utilisation du convertisseur de carburant :</v>
      </c>
      <c r="O9" s="352"/>
      <c r="P9" s="353"/>
      <c r="Q9" s="354"/>
      <c r="S9" s="352"/>
      <c r="T9" s="353"/>
      <c r="U9" s="354"/>
      <c r="W9" s="352"/>
      <c r="X9" s="353"/>
      <c r="Y9" s="354"/>
      <c r="AA9" s="352"/>
      <c r="AB9" s="353"/>
      <c r="AC9" s="354"/>
      <c r="AE9" s="352"/>
      <c r="AF9" s="353"/>
      <c r="AG9" s="354"/>
      <c r="AI9" s="352"/>
      <c r="AJ9" s="353"/>
      <c r="AK9" s="354"/>
      <c r="AL9" s="10"/>
      <c r="AM9" s="352"/>
      <c r="AN9" s="353"/>
      <c r="AO9" s="354"/>
      <c r="AP9" s="10"/>
      <c r="AQ9" s="352"/>
      <c r="AR9" s="353"/>
      <c r="AS9" s="354"/>
      <c r="AU9" s="352"/>
      <c r="AV9" s="353"/>
      <c r="AW9" s="354"/>
      <c r="AY9" s="352"/>
      <c r="AZ9" s="353"/>
      <c r="BA9" s="354"/>
    </row>
    <row r="10" spans="1:53" ht="15" thickBot="1" x14ac:dyDescent="0.35">
      <c r="A10" s="317"/>
      <c r="B10" s="317"/>
      <c r="C10" s="318"/>
      <c r="D10" s="327" t="str">
        <f>P11</f>
        <v>-</v>
      </c>
      <c r="E10" s="328" t="str">
        <f>P12</f>
        <v>-</v>
      </c>
      <c r="F10" s="329" t="str">
        <f>IF(C10="","-",O23)</f>
        <v>-</v>
      </c>
      <c r="G10" s="1159" t="str">
        <f t="shared" ref="G10:G19" si="0">IF(AND(B10="",D10="Liquid"),
template_label_liquid_warning,
IF(AND(A10&lt;&gt;"",B10&lt;&gt;"",C10&lt;&gt;"",D10&lt;&gt;"",E10&lt;&gt;"",F10&lt;&gt;"",OR(AND(OR(B10="L - Liter",B10="m³ - cubic meters"),OR(D10="Liquid",D10="Gaseous")),AND(OR(B10="Kg - Kilogram",B10="t - tonne",B10="g - gram"),D10="Solid"))),"OK",
IF(AND(OR(B10="m³ - cubic meters",B10="L - Liter"),D10="Liquid",C10=""),
"",
IF(AND(OR(B10="Gg - Gigagram",B10="t - tonne",B10="Kg - Kilogram",B10="g - gram"),D10="Liquid"),
template_label_liquid_warning,
IF(AND(B10="",D10="Gaseous"),
template_label_gaseous_warning,
IF(AND(A10&lt;&gt;"",B10&lt;&gt;"",C10&lt;&gt;"",D10&lt;&gt;"",E10&lt;&gt;"",F10&lt;&gt;"",OR(AND(OR(B10="L - Liter",B10="m³ - cubic meters"),OR(D10="Liquid",D10="Gaseous")),AND(OR(B10="Kg - Kilogram",B10="t - tonne",B10="g - gram"),D10="Solid"))),"OK",IF(AND(OR(B10="m³ - cubic meters",B10="L - Liter"),D10="Gaseous",C10=""),
"",
IF(AND(OR(B10="Gg - Gigagram",B10="t - tonne",B10="Kg - Kilogram",B10="g - gram"),D10="Gaseous"),
template_label_gaseous_warning,
IF(AND(B10="",D10="Solid"),
template_label_solid_warning,
IF(AND(A10&lt;&gt;"",B10&lt;&gt;"",C10&lt;&gt;"",D10&lt;&gt;"",E10&lt;&gt;"",F10&lt;&gt;"",OR(AND(OR(B10="L - Liter",B10="m³ - cubic meters"),OR(D10="Liquid",D10="Gaseous")),AND(OR(B10="Kg - Kilogram",B10="t - tonne",B10="g - gram"),D10="Solid"))),"OK",IF(AND(OR(B10="Gg - Gigagram",B10="t - tonne",B10="Kg - Kilogram",B10="g - gram"),D10="Solid"),
"",
IF(AND(OR(B10="m³ - cubic meters",B10="L - Liter"),D10="Solid"),
template_label_solid_warning,
""))))))))))))</f>
        <v/>
      </c>
      <c r="H10" s="1160"/>
      <c r="J10" s="10" t="str">
        <f>template_label_1_in_cell_a9_select_the_fuel_used_searching_for_it_or_scrolling_down_the_list_displayed_clicking_the_cell</f>
        <v>1. Dans la cellule A10, sélectionnez le carburant utilisé, en le recherchant ou en faisant défiler la liste affichée et en cliquant sur la cellule.</v>
      </c>
      <c r="O10" s="330" t="s">
        <v>90</v>
      </c>
      <c r="P10" s="355" t="str">
        <f>IF(A10="","-",A10)</f>
        <v>-</v>
      </c>
      <c r="Q10" s="356"/>
      <c r="S10" s="330" t="s">
        <v>90</v>
      </c>
      <c r="T10" s="355" t="str">
        <f>IF(A11="","-",A11)</f>
        <v>-</v>
      </c>
      <c r="U10" s="356"/>
      <c r="W10" s="330" t="s">
        <v>90</v>
      </c>
      <c r="X10" s="355" t="str">
        <f>IF(A12="","-",A12)</f>
        <v>-</v>
      </c>
      <c r="Y10" s="356"/>
      <c r="AA10" s="330" t="s">
        <v>90</v>
      </c>
      <c r="AB10" s="355" t="str">
        <f>IF(A13="","-",A13)</f>
        <v>-</v>
      </c>
      <c r="AC10" s="356"/>
      <c r="AE10" s="330" t="s">
        <v>90</v>
      </c>
      <c r="AF10" s="355" t="str">
        <f>IF(A14="","-",A14)</f>
        <v>-</v>
      </c>
      <c r="AG10" s="356"/>
      <c r="AI10" s="330" t="s">
        <v>90</v>
      </c>
      <c r="AJ10" s="355" t="str">
        <f>IF(A15="","-",A15)</f>
        <v>-</v>
      </c>
      <c r="AK10" s="356"/>
      <c r="AL10" s="10"/>
      <c r="AM10" s="330" t="s">
        <v>90</v>
      </c>
      <c r="AN10" s="355" t="str">
        <f>IF(A16="","-",A16)</f>
        <v>-</v>
      </c>
      <c r="AO10" s="356"/>
      <c r="AP10" s="10"/>
      <c r="AQ10" s="330" t="s">
        <v>90</v>
      </c>
      <c r="AR10" s="355" t="str">
        <f>IF(A17="","-",A17)</f>
        <v>-</v>
      </c>
      <c r="AS10" s="356"/>
      <c r="AU10" s="330" t="s">
        <v>90</v>
      </c>
      <c r="AV10" s="355" t="str">
        <f>IF(A18="","-",A18)</f>
        <v>-</v>
      </c>
      <c r="AW10" s="356"/>
      <c r="AY10" s="330" t="s">
        <v>90</v>
      </c>
      <c r="AZ10" s="355" t="str">
        <f>IF(A19="","-",A19)</f>
        <v>-</v>
      </c>
      <c r="BA10" s="356"/>
    </row>
    <row r="11" spans="1:53" ht="15" thickBot="1" x14ac:dyDescent="0.35">
      <c r="A11" s="317"/>
      <c r="B11" s="317"/>
      <c r="C11" s="318"/>
      <c r="D11" s="331" t="str">
        <f>T11</f>
        <v>-</v>
      </c>
      <c r="E11" s="332" t="str">
        <f>T12</f>
        <v>-</v>
      </c>
      <c r="F11" s="329" t="str">
        <f>IF(C11="","-",S23)</f>
        <v>-</v>
      </c>
      <c r="G11" s="1133" t="str">
        <f t="shared" si="0"/>
        <v/>
      </c>
      <c r="H11" s="1134"/>
      <c r="J11" s="10" t="str">
        <f>template_label_2_in_cell_b9_select_the_unit_of_measurement_used</f>
        <v>2. Dans la cellule B10, sélectionnez l’unité de mesure utilisée</v>
      </c>
      <c r="O11" s="330" t="s">
        <v>91</v>
      </c>
      <c r="P11" s="357" t="str">
        <f>IF(OR(P10="", P10="-"), "-", IFERROR(IF(INDEX('Fuel Conversion Parameters'!$B$2:$B$61, MATCH(P10, 'Fuel Conversion Parameters'!$A$2:$A$61, 0))="", "MISSING VALUE", INDEX('Fuel Conversion Parameters'!$B$2:$B$61, MATCH(P10, 'Fuel Conversion Parameters'!$A$2:$A$61, 0))), "MISSING VALUE"))</f>
        <v>-</v>
      </c>
      <c r="Q11" s="356"/>
      <c r="S11" s="330" t="s">
        <v>91</v>
      </c>
      <c r="T11" s="357" t="str">
        <f>IF(OR(T10="", T10="-"), "-", IFERROR(IF(INDEX('Fuel Conversion Parameters'!$B$2:$B$61, MATCH(T10, 'Fuel Conversion Parameters'!$A$2:$A$61, 0))="", "MISSING VALUE", INDEX('Fuel Conversion Parameters'!$B$2:$B$61, MATCH(T10, 'Fuel Conversion Parameters'!$A$2:$A$61, 0))), "MISSING VALUE"))</f>
        <v>-</v>
      </c>
      <c r="U11" s="356"/>
      <c r="W11" s="330" t="s">
        <v>91</v>
      </c>
      <c r="X11" s="357" t="str">
        <f>IF(OR(X10="", X10="-"), "-", IFERROR(IF(INDEX('Fuel Conversion Parameters'!$B$2:$B$61, MATCH(X10, 'Fuel Conversion Parameters'!$A$2:$A$61, 0))="", "MISSING VALUE", INDEX('Fuel Conversion Parameters'!$B$2:$B$61, MATCH(X10, 'Fuel Conversion Parameters'!$A$2:$A$61, 0))), "MISSING VALUE"))</f>
        <v>-</v>
      </c>
      <c r="Y11" s="356"/>
      <c r="AA11" s="330" t="s">
        <v>91</v>
      </c>
      <c r="AB11" s="357" t="str">
        <f>IF(OR(AB10="", AB10="-"), "-", IFERROR(IF(INDEX('Fuel Conversion Parameters'!$B$2:$B$61, MATCH(AB10, 'Fuel Conversion Parameters'!$A$2:$A$61, 0))="", "MISSING VALUE", INDEX('Fuel Conversion Parameters'!$B$2:$B$61, MATCH(AB10, 'Fuel Conversion Parameters'!$A$2:$A$61, 0))), "MISSING VALUE"))</f>
        <v>-</v>
      </c>
      <c r="AC11" s="356"/>
      <c r="AE11" s="330" t="s">
        <v>91</v>
      </c>
      <c r="AF11" s="357" t="str">
        <f>IF(OR(AF10="", AF10="-"), "-", IFERROR(IF(INDEX('Fuel Conversion Parameters'!$B$2:$B$61, MATCH(AF10, 'Fuel Conversion Parameters'!$A$2:$A$61, 0))="", "MISSING VALUE", INDEX('Fuel Conversion Parameters'!$B$2:$B$61, MATCH(AF10, 'Fuel Conversion Parameters'!$A$2:$A$61, 0))), "MISSING VALUE"))</f>
        <v>-</v>
      </c>
      <c r="AG11" s="356"/>
      <c r="AI11" s="330" t="s">
        <v>91</v>
      </c>
      <c r="AJ11" s="357" t="str">
        <f>IF(OR(AJ10="", AJ10="-"), "-", IFERROR(IF(INDEX('Fuel Conversion Parameters'!$B$2:$B$61, MATCH(AJ10, 'Fuel Conversion Parameters'!$A$2:$A$61, 0))="", "MISSING VALUE", INDEX('Fuel Conversion Parameters'!$B$2:$B$61, MATCH(AJ10, 'Fuel Conversion Parameters'!$A$2:$A$61, 0))), "MISSING VALUE"))</f>
        <v>-</v>
      </c>
      <c r="AK11" s="356"/>
      <c r="AL11" s="10"/>
      <c r="AM11" s="330" t="s">
        <v>91</v>
      </c>
      <c r="AN11" s="357" t="str">
        <f>IF(OR(AN10="", AN10="-"), "-", IFERROR(IF(INDEX('Fuel Conversion Parameters'!$B$2:$B$61, MATCH(AN10, 'Fuel Conversion Parameters'!$A$2:$A$61, 0))="", "MISSING VALUE", INDEX('Fuel Conversion Parameters'!$B$2:$B$61, MATCH(AN10, 'Fuel Conversion Parameters'!$A$2:$A$61, 0))), "MISSING VALUE"))</f>
        <v>-</v>
      </c>
      <c r="AO11" s="356"/>
      <c r="AP11" s="10"/>
      <c r="AQ11" s="330" t="s">
        <v>91</v>
      </c>
      <c r="AR11" s="357" t="str">
        <f>IF(OR(AR10="", AR10="-"), "-", IFERROR(IF(INDEX('Fuel Conversion Parameters'!$B$2:$B$61, MATCH(AR10, 'Fuel Conversion Parameters'!$A$2:$A$61, 0))="", "MISSING VALUE", INDEX('Fuel Conversion Parameters'!$B$2:$B$61, MATCH(AR10, 'Fuel Conversion Parameters'!$A$2:$A$61, 0))), "MISSING VALUE"))</f>
        <v>-</v>
      </c>
      <c r="AS11" s="356"/>
      <c r="AU11" s="330" t="s">
        <v>91</v>
      </c>
      <c r="AV11" s="357" t="str">
        <f>IF(OR(AV10="", AV10="-"), "-", IFERROR(IF(INDEX('Fuel Conversion Parameters'!$B$2:$B$61, MATCH(AV10, 'Fuel Conversion Parameters'!$A$2:$A$61, 0))="", "MISSING VALUE", INDEX('Fuel Conversion Parameters'!$B$2:$B$61, MATCH(AV10, 'Fuel Conversion Parameters'!$A$2:$A$61, 0))), "MISSING VALUE"))</f>
        <v>-</v>
      </c>
      <c r="AW11" s="356"/>
      <c r="AY11" s="330" t="s">
        <v>91</v>
      </c>
      <c r="AZ11" s="357" t="str">
        <f>IF(OR(AZ10="", AZ10="-"), "-", IFERROR(IF(INDEX('Fuel Conversion Parameters'!$B$2:$B$61, MATCH(AZ10, 'Fuel Conversion Parameters'!$A$2:$A$61, 0))="", "MISSING VALUE", INDEX('Fuel Conversion Parameters'!$B$2:$B$61, MATCH(AZ10, 'Fuel Conversion Parameters'!$A$2:$A$61, 0))), "MISSING VALUE"))</f>
        <v>-</v>
      </c>
      <c r="BA11" s="356"/>
    </row>
    <row r="12" spans="1:53" ht="15" thickBot="1" x14ac:dyDescent="0.35">
      <c r="A12" s="317"/>
      <c r="B12" s="317"/>
      <c r="C12" s="318"/>
      <c r="D12" s="331" t="str">
        <f>X11</f>
        <v>-</v>
      </c>
      <c r="E12" s="332" t="str">
        <f>X12</f>
        <v>-</v>
      </c>
      <c r="F12" s="329" t="str">
        <f>IF(C12="","-",W23)</f>
        <v>-</v>
      </c>
      <c r="G12" s="1133" t="str">
        <f t="shared" si="0"/>
        <v/>
      </c>
      <c r="H12" s="1134"/>
      <c r="J12" s="10" t="str">
        <f>template_label_3_in_cell_c9_select_the_amount_of_fuel_used</f>
        <v>3. Dans la cellule C10, sélectionnez la quantité de carburant utilisée.</v>
      </c>
      <c r="O12" s="330" t="s">
        <v>92</v>
      </c>
      <c r="P12" s="357" t="str">
        <f>IF(OR(P10="", P10="-"), "-", IFERROR(IF(INDEX('Fuel Conversion Parameters'!$F$2:$F$61, MATCH(P10, 'Fuel Conversion Parameters'!$A$2:$A$61, 0))="", "MISSING VALUE", INDEX('Fuel Conversion Parameters'!$F$2:$F$61, MATCH(P10, 'Fuel Conversion Parameters'!$A$2:$A$61, 0))), "MISSING VALUE"))</f>
        <v>-</v>
      </c>
      <c r="Q12" s="356"/>
      <c r="S12" s="330" t="s">
        <v>92</v>
      </c>
      <c r="T12" s="357" t="str">
        <f>IF(OR(T10="", T10="-"), "-", IFERROR(IF(INDEX('Fuel Conversion Parameters'!$F$2:$F$61, MATCH(T10, 'Fuel Conversion Parameters'!$A$2:$A$61, 0))="", "MISSING VALUE", INDEX('Fuel Conversion Parameters'!$F$2:$F$61, MATCH(T10, 'Fuel Conversion Parameters'!$A$2:$A$61, 0))), "MISSING VALUE"))</f>
        <v>-</v>
      </c>
      <c r="U12" s="356"/>
      <c r="W12" s="330" t="s">
        <v>92</v>
      </c>
      <c r="X12" s="357" t="str">
        <f>IF(OR(X10="", X10="-"), "-", IFERROR(IF(INDEX('Fuel Conversion Parameters'!$F$2:$F$61, MATCH(X10, 'Fuel Conversion Parameters'!$A$2:$A$61, 0))="", "MISSING VALUE", INDEX('Fuel Conversion Parameters'!$F$2:$F$61, MATCH(X10, 'Fuel Conversion Parameters'!$A$2:$A$61, 0))), "MISSING VALUE"))</f>
        <v>-</v>
      </c>
      <c r="Y12" s="356"/>
      <c r="AA12" s="330" t="s">
        <v>92</v>
      </c>
      <c r="AB12" s="357" t="str">
        <f>IF(OR(AB10="", AB10="-"), "-", IFERROR(IF(INDEX('Fuel Conversion Parameters'!$F$2:$F$61, MATCH(AB10, 'Fuel Conversion Parameters'!$A$2:$A$61, 0))="", "MISSING VALUE", INDEX('Fuel Conversion Parameters'!$F$2:$F$61, MATCH(AB10, 'Fuel Conversion Parameters'!$A$2:$A$61, 0))), "MISSING VALUE"))</f>
        <v>-</v>
      </c>
      <c r="AC12" s="356"/>
      <c r="AE12" s="330" t="s">
        <v>92</v>
      </c>
      <c r="AF12" s="357" t="str">
        <f>IF(OR(AF10="", AF10="-"), "-", IFERROR(IF(INDEX('Fuel Conversion Parameters'!$F$2:$F$61, MATCH(AF10, 'Fuel Conversion Parameters'!$A$2:$A$61, 0))="", "MISSING VALUE", INDEX('Fuel Conversion Parameters'!$F$2:$F$61, MATCH(AF10, 'Fuel Conversion Parameters'!$A$2:$A$61, 0))), "MISSING VALUE"))</f>
        <v>-</v>
      </c>
      <c r="AG12" s="356"/>
      <c r="AI12" s="330" t="s">
        <v>92</v>
      </c>
      <c r="AJ12" s="357" t="str">
        <f>IF(OR(AJ10="", AJ10="-"), "-", IFERROR(IF(INDEX('Fuel Conversion Parameters'!$F$2:$F$61, MATCH(AJ10, 'Fuel Conversion Parameters'!$A$2:$A$61, 0))="", "MISSING VALUE", INDEX('Fuel Conversion Parameters'!$F$2:$F$61, MATCH(AJ10, 'Fuel Conversion Parameters'!$A$2:$A$61, 0))), "MISSING VALUE"))</f>
        <v>-</v>
      </c>
      <c r="AK12" s="356"/>
      <c r="AL12" s="10"/>
      <c r="AM12" s="330" t="s">
        <v>92</v>
      </c>
      <c r="AN12" s="357" t="str">
        <f>IF(OR(AN10="", AN10="-"), "-", IFERROR(IF(INDEX('Fuel Conversion Parameters'!$F$2:$F$61, MATCH(AN10, 'Fuel Conversion Parameters'!$A$2:$A$61, 0))="", "MISSING VALUE", INDEX('Fuel Conversion Parameters'!$F$2:$F$61, MATCH(AN10, 'Fuel Conversion Parameters'!$A$2:$A$61, 0))), "MISSING VALUE"))</f>
        <v>-</v>
      </c>
      <c r="AO12" s="356"/>
      <c r="AP12" s="10"/>
      <c r="AQ12" s="330" t="s">
        <v>92</v>
      </c>
      <c r="AR12" s="357" t="str">
        <f>IF(OR(AR10="", AR10="-"), "-", IFERROR(IF(INDEX('Fuel Conversion Parameters'!$F$2:$F$61, MATCH(AR10, 'Fuel Conversion Parameters'!$A$2:$A$61, 0))="", "MISSING VALUE", INDEX('Fuel Conversion Parameters'!$F$2:$F$61, MATCH(AR10, 'Fuel Conversion Parameters'!$A$2:$A$61, 0))), "MISSING VALUE"))</f>
        <v>-</v>
      </c>
      <c r="AS12" s="356"/>
      <c r="AU12" s="330" t="s">
        <v>92</v>
      </c>
      <c r="AV12" s="357" t="str">
        <f>IF(OR(AV10="", AV10="-"), "-", IFERROR(IF(INDEX('Fuel Conversion Parameters'!$F$2:$F$61, MATCH(AV10, 'Fuel Conversion Parameters'!$A$2:$A$61, 0))="", "MISSING VALUE", INDEX('Fuel Conversion Parameters'!$F$2:$F$61, MATCH(AV10, 'Fuel Conversion Parameters'!$A$2:$A$61, 0))), "MISSING VALUE"))</f>
        <v>-</v>
      </c>
      <c r="AW12" s="356"/>
      <c r="AY12" s="330" t="s">
        <v>92</v>
      </c>
      <c r="AZ12" s="357" t="str">
        <f>IF(OR(AZ10="", AZ10="-"), "-", IFERROR(IF(INDEX('Fuel Conversion Parameters'!$F$2:$F$61, MATCH(AZ10, 'Fuel Conversion Parameters'!$A$2:$A$61, 0))="", "MISSING VALUE", INDEX('Fuel Conversion Parameters'!$F$2:$F$61, MATCH(AZ10, 'Fuel Conversion Parameters'!$A$2:$A$61, 0))), "MISSING VALUE"))</f>
        <v>-</v>
      </c>
      <c r="BA12" s="356"/>
    </row>
    <row r="13" spans="1:53" x14ac:dyDescent="0.3">
      <c r="A13" s="317"/>
      <c r="B13" s="317"/>
      <c r="C13" s="318"/>
      <c r="D13" s="331" t="str">
        <f>AB11</f>
        <v>-</v>
      </c>
      <c r="E13" s="332" t="str">
        <f>AB12</f>
        <v>-</v>
      </c>
      <c r="F13" s="329" t="str">
        <f>IF(C13="","-",AA23)</f>
        <v>-</v>
      </c>
      <c r="G13" s="1133" t="str">
        <f t="shared" si="0"/>
        <v/>
      </c>
      <c r="H13" s="1134"/>
      <c r="J13" s="10" t="str">
        <f>template_label_4_in_cell_d9_it_is_displayed_the_state_of_matter_for_the_fuel_selected</f>
        <v>4. La cellule D10 affiche l'état de la matière pour le carburant sélectionné.</v>
      </c>
      <c r="O13" s="358"/>
      <c r="P13" s="19"/>
      <c r="Q13" s="356"/>
      <c r="S13" s="358"/>
      <c r="T13" s="19"/>
      <c r="U13" s="356"/>
      <c r="W13" s="358"/>
      <c r="X13" s="19"/>
      <c r="Y13" s="356"/>
      <c r="AA13" s="358"/>
      <c r="AB13" s="19"/>
      <c r="AC13" s="356"/>
      <c r="AE13" s="358"/>
      <c r="AF13" s="19"/>
      <c r="AG13" s="356"/>
      <c r="AI13" s="358"/>
      <c r="AJ13" s="19"/>
      <c r="AK13" s="356"/>
      <c r="AL13" s="10"/>
      <c r="AM13" s="358"/>
      <c r="AN13" s="19"/>
      <c r="AO13" s="356"/>
      <c r="AP13" s="10"/>
      <c r="AQ13" s="358"/>
      <c r="AR13" s="19"/>
      <c r="AS13" s="356"/>
      <c r="AU13" s="358"/>
      <c r="AV13" s="19"/>
      <c r="AW13" s="356"/>
      <c r="AY13" s="358"/>
      <c r="AZ13" s="19"/>
      <c r="BA13" s="356"/>
    </row>
    <row r="14" spans="1:53" x14ac:dyDescent="0.3">
      <c r="A14" s="317"/>
      <c r="B14" s="317"/>
      <c r="C14" s="318"/>
      <c r="D14" s="331" t="str">
        <f>AF11</f>
        <v>-</v>
      </c>
      <c r="E14" s="332" t="str">
        <f>AF12</f>
        <v>-</v>
      </c>
      <c r="F14" s="329" t="str">
        <f>IF(C14="","-",AE23)</f>
        <v>-</v>
      </c>
      <c r="G14" s="1133" t="str">
        <f t="shared" si="0"/>
        <v/>
      </c>
      <c r="H14" s="1134"/>
      <c r="J14" s="10" t="str">
        <f>template_label_5_in_cell_e9_it_is_displayed_the_typical_renewability_state_for_the_fuel_selected</f>
        <v>5. La cellule E10 affiche le caractère renouvelable typique du carburant sélectionné.</v>
      </c>
      <c r="O14" s="359"/>
      <c r="Q14" s="356"/>
      <c r="S14" s="359"/>
      <c r="U14" s="356"/>
      <c r="W14" s="359"/>
      <c r="Y14" s="356"/>
      <c r="AA14" s="359"/>
      <c r="AC14" s="356"/>
      <c r="AE14" s="359"/>
      <c r="AG14" s="356"/>
      <c r="AI14" s="359"/>
      <c r="AK14" s="356"/>
      <c r="AL14" s="10"/>
      <c r="AM14" s="359"/>
      <c r="AN14" s="10"/>
      <c r="AO14" s="356"/>
      <c r="AP14" s="10"/>
      <c r="AQ14" s="359"/>
      <c r="AS14" s="356"/>
      <c r="AU14" s="359"/>
      <c r="AW14" s="356"/>
      <c r="AY14" s="359"/>
      <c r="BA14" s="356"/>
    </row>
    <row r="15" spans="1:53" ht="15" thickBot="1" x14ac:dyDescent="0.35">
      <c r="A15" s="317"/>
      <c r="B15" s="317"/>
      <c r="C15" s="318"/>
      <c r="D15" s="331" t="str">
        <f>AJ11</f>
        <v>-</v>
      </c>
      <c r="E15" s="332" t="str">
        <f>AJ12</f>
        <v>-</v>
      </c>
      <c r="F15" s="329" t="str">
        <f>IF(C15="","-",AI23)</f>
        <v>-</v>
      </c>
      <c r="G15" s="1133" t="str">
        <f t="shared" si="0"/>
        <v/>
      </c>
      <c r="H15" s="1134"/>
      <c r="J15" s="10" t="str">
        <f>template_label_6_in_cell_f9_is_displayed_the_energy_produced_in_mega_watt_hours_by_the_amount_of_fuel_specified</f>
        <v>6. La cellule F10 affiche l'énergie produite, en méga wattheures (MWh), par la quantité de carburant spécifiée.</v>
      </c>
      <c r="O15" s="360"/>
      <c r="Q15" s="356"/>
      <c r="S15" s="360"/>
      <c r="U15" s="356"/>
      <c r="W15" s="359"/>
      <c r="Y15" s="356"/>
      <c r="AA15" s="359"/>
      <c r="AC15" s="356"/>
      <c r="AE15" s="359"/>
      <c r="AG15" s="356"/>
      <c r="AI15" s="359"/>
      <c r="AK15" s="356"/>
      <c r="AL15" s="10"/>
      <c r="AM15" s="359"/>
      <c r="AN15" s="10"/>
      <c r="AO15" s="356"/>
      <c r="AP15" s="10"/>
      <c r="AQ15" s="359"/>
      <c r="AS15" s="356"/>
      <c r="AU15" s="359"/>
      <c r="AW15" s="356"/>
      <c r="AY15" s="359"/>
      <c r="BA15" s="356"/>
    </row>
    <row r="16" spans="1:53" ht="15" thickBot="1" x14ac:dyDescent="0.35">
      <c r="A16" s="317"/>
      <c r="B16" s="317"/>
      <c r="C16" s="318"/>
      <c r="D16" s="331" t="str">
        <f>AN11</f>
        <v>-</v>
      </c>
      <c r="E16" s="332" t="str">
        <f>AN12</f>
        <v>-</v>
      </c>
      <c r="F16" s="329" t="str">
        <f>IF(C16="","-",AM23)</f>
        <v>-</v>
      </c>
      <c r="G16" s="1133" t="str">
        <f t="shared" si="0"/>
        <v/>
      </c>
      <c r="H16" s="1134"/>
      <c r="J16" s="10" t="str">
        <f>template_label_7_in_cell_a28_is_displayed_the_total_energy_in_mega_watt_hours</f>
        <v>7. La cellule A29 affiche l’énergie totale en mégawattheures (MWh).</v>
      </c>
      <c r="O16" s="361" t="s">
        <v>93</v>
      </c>
      <c r="P16" s="362">
        <f>B10</f>
        <v>0</v>
      </c>
      <c r="Q16" s="363" t="str">
        <f>IF(AND(P16="", P11="Liquid"),
   "Liquid fuel: please select one unit of measurement among m³ and L",
IF(AND(OR(P16="m³ - cubic meters", P16="L - Liter"), P11="Liquid"),
   "",
IF(AND(OR(P16="Gg - Gigagram", P16="t - tonne", P16="Kg - Kilogram", P16="g - gram"), P11="Liquid"),
   "Liquid fuel: please change unit of measurement, select one among m³ and L",
IF(AND(P16="", P11="Gaseous"),
   "Gaseous fuel: please select one unit of measurement among m³ and L",
IF(AND(OR(P16="m³ - cubic meters", P16="L - Liter"), P11="Gaseous"),
   "",
IF(AND(OR(P16="Gg - Gigagram", P16="t - tonne", P16="Kg - Kilogram", P16="g - gram"), P11="Gaseous"),
   "Gaseous fuel: please change unit of measurement, select one among m³ and L",
IF(AND(P16="", P11="Solid"),
   "Solid fuel: please select one unit of measurement among Gg, t, Kg and g",
IF(AND(OR(P16="Gg - Gigagram", P16="t - tonne", P16="Kg - Kilogram", P16="g - gram"), P11="Solid"),
   "",
IF(AND(OR(P16="m³ - cubic meters", P16="L - Liter"), P11="Solid"),
   "Solid fuel: please change unit of measurement, select one among Gg, t, Kg and g",
"")))))))))</f>
        <v/>
      </c>
      <c r="S16" s="361" t="s">
        <v>93</v>
      </c>
      <c r="T16" s="362">
        <f>B11</f>
        <v>0</v>
      </c>
      <c r="U16" s="363" t="str">
        <f>IF(AND(T16="", T11="Liquid"),
   "Liquid fuel: please select one unit of measurement among m³ and L",
IF(AND(OR(T16="m³ - cubic meters", T16="L - Liter"), T11="Liquid"),
   "",
IF(AND(OR(T16="Gg - Gigagram", T16="t - tonne", T16="Kg - Kilogram", T16="g - gram"), T11="Liquid"),
   "Liquid fuel: please change unit of measurement, select one among m³ and L",
IF(AND(T16="", T11="Gaseous"),
   "Gaseous fuel: please select one unit of measurement among m³ and L",
IF(AND(OR(T16="m³ - cubic meters", T16="L - Liter"), T11="Gaseous"),
   "",
IF(AND(OR(T16="Gg - Gigagram", T16="t - tonne", T16="Kg - Kilogram", T16="g - gram"), T11="Gaseous"),
   "Gaseous fuel: please change unit of measurement, select one among m³ and L",
IF(AND(T16="", T11="Solid"),
   "Solid fuel: please select one unit of measurement among Gg, t, Kg and g",
IF(AND(OR(T16="Gg - Gigagram", T16="t - tonne", T16="Kg - Kilogram", T16="g - gram"), T11="Solid"),
   "",
IF(AND(OR(T16="m³ - cubic meters", T16="L - Liter"), T11="Solid"),
   "Solid fuel: please change unit of measurement, select one among Gg, t, Kg and g",
"")))))))))</f>
        <v/>
      </c>
      <c r="W16" s="361" t="s">
        <v>93</v>
      </c>
      <c r="X16" s="362">
        <f>B12</f>
        <v>0</v>
      </c>
      <c r="Y16" s="356" t="str">
        <f>IF(AND(X16="", X11="Liquid"),
   "Liquid fuel: please select one unit of measurement among m³ and L",
IF(AND(OR(X16="m³ - cubic meters", X16="L - Liter"), X11="Liquid"),
   "",
IF(AND(OR(X16="Gg - Gigagram", X16="t - tonne", X16="Kg - Kilogram", X16="g - gram"), X11="Liquid"),
   "Liquid fuel: please change unit of measurement, select one among m³ and L",
IF(AND(X16="", X11="Gaseous"),
   "Gaseous fuel: please select one unit of measurement among m³ and L",
IF(AND(OR(X16="m³ - cubic meters", X16="L - Liter"), X11="Gaseous"),
   "",
IF(AND(OR(X16="Gg - Gigagram", X16="t - tonne", X16="Kg - Kilogram", X16="g - gram"), X11="Gaseous"),
   "Gaseous fuel: please change unit of measurement, select one among m³ and L",
IF(AND(X16="", X11="Solid"),
   "Solid fuel: please select one unit of measurement among Gg, t, Kg and g",
IF(AND(OR(X16="Gg - Gigagram", X16="t - tonne", X16="Kg - Kilogram", X16="g - gram"), X11="Solid"),
   "",
IF(AND(OR(X16="m³ - cubic meters", X16="L - Liter"), X11="Solid"),
   "Solid fuel: please change unit of measurement, select one among Gg, t, Kg and g",
"")))))))))</f>
        <v/>
      </c>
      <c r="AA16" s="361" t="s">
        <v>93</v>
      </c>
      <c r="AB16" s="362">
        <f>B13</f>
        <v>0</v>
      </c>
      <c r="AC16" s="363" t="str">
        <f>IF(AND(AB16="", AB11="Liquid"),
   "Liquid fuel: please select one unit of measurement among m³ and L",
IF(AND(OR(AB16="m³ - cubic meters", AB16="L - Liter"), AB11="Liquid"),
   "",
IF(AND(OR(AB16="Gg - Gigagram", AB16="t - tonne", AB16="Kg - Kilogram", AB16="g - gram"), AB11="Liquid"),
   "Liquid fuel: please change unit of measurement, select one among m³ and L",
IF(AND(AB16="", AB11="Gaseous"),
   "Gaseous fuel: please select one unit of measurement among m³ and L",
IF(AND(OR(AB16="m³ - cubic meters", AB16="L - Liter"), AB11="Gaseous"),
   "",
IF(AND(OR(AB16="Gg - Gigagram", AB16="t - tonne", AB16="Kg - Kilogram", AB16="g - gram"), AB11="Gaseous"),
   "Gaseous fuel: please change unit of measurement, select one among m³ and L",
IF(AND(AB16="", AB11="Solid"),
   "Solid fuel: please select one unit of measurement among Gg, t, Kg and g",
IF(AND(OR(AB16="Gg - Gigagram", AB16="t - tonne", AB16="Kg - Kilogram", AB16="g - gram"), AB11="Solid"),
   "",
IF(AND(OR(AB16="m³ - cubic meters", AB16="L - Liter"), AB11="Solid"),
   "Solid fuel: please change unit of measurement, select one among Gg, t, Kg and g",
"")))))))))</f>
        <v/>
      </c>
      <c r="AE16" s="361" t="s">
        <v>93</v>
      </c>
      <c r="AF16" s="362">
        <f>B14</f>
        <v>0</v>
      </c>
      <c r="AG16" s="363" t="str">
        <f>IF(AND(AF16="", AF11="Liquid"),
   "Liquid fuel: please select one unit of measurement among m³ and L",
IF(AND(OR(AF16="m³ - cubic meters", AF16="L - Liter"), AF11="Liquid"),
   "",
IF(AND(OR(AF16="Gg - Gigagram", AF16="t - tonne", AF16="Kg - Kilogram", AF16="g - gram"), AF11="Liquid"),
   "Liquid fuel: please change unit of measurement, select one among m³ and L",
IF(AND(AF16="", AF11="Gaseous"),
   "Gaseous fuel: please select one unit of measurement among m³ and L",
IF(AND(OR(AF16="m³ - cubic meters", AF16="L - Liter"), AF11="Gaseous"),
   "",
IF(AND(OR(AF16="Gg - Gigagram", AF16="t - tonne", AF16="Kg - Kilogram", AF16="g - gram"), AF11="Gaseous"),
   "Gaseous fuel: please change unit of measurement, select one among m³ and L",
IF(AND(AF16="", AF11="Solid"),
   "Solid fuel: please select one unit of measurement among Gg, t, Kg and g",
IF(AND(OR(AF16="Gg - Gigagram", AF16="t - tonne", AF16="Kg - Kilogram", AF16="g - gram"), AF11="Solid"),
   "",
IF(AND(OR(AF16="m³ - cubic meters", AF16="L - Liter"), AF11="Solid"),
   "Solid fuel: please change unit of measurement, select one among Gg, t, Kg and g",
"")))))))))</f>
        <v/>
      </c>
      <c r="AI16" s="361" t="s">
        <v>93</v>
      </c>
      <c r="AJ16" s="362">
        <f>B15</f>
        <v>0</v>
      </c>
      <c r="AK16" s="363" t="str">
        <f>IF(AND(AJ16="", AJ11="Liquid"),
   "Liquid fuel: please select one unit of measurement among m³ and L",
IF(AND(OR(AJ16="m³ - cubic meters", AJ16="L - Liter"), AJ11="Liquid"),
   "",
IF(AND(OR(AJ16="Gg - Gigagram", AJ16="t - tonne", AJ16="Kg - Kilogram", AJ16="g - gram"), AJ11="Liquid"),
   "Liquid fuel: please change unit of measurement, select one among m³ and L",
IF(AND(AJ16="", AJ11="Gaseous"),
   "Gaseous fuel: please select one unit of measurement among m³ and L",
IF(AND(OR(AJ16="m³ - cubic meters", AJ16="L - Liter"), AJ11="Gaseous"),
   "",
IF(AND(OR(AJ16="Gg - Gigagram", AJ16="t - tonne", AJ16="Kg - Kilogram", AJ16="g - gram"), AJ11="Gaseous"),
   "Gaseous fuel: please change unit of measurement, select one among m³ and L",
IF(AND(AJ16="", AJ11="Solid"),
   "Solid fuel: please select one unit of measurement among Gg, t, Kg and g",
IF(AND(OR(AJ16="Gg - Gigagram", AJ16="t - tonne", AJ16="Kg - Kilogram", AJ16="g - gram"), AJ11="Solid"),
   "",
IF(AND(OR(AJ16="m³ - cubic meters", AJ16="L - Liter"), AJ11="Solid"),
   "Solid fuel: please change unit of measurement, select one among Gg, t, Kg and g",
"")))))))))</f>
        <v/>
      </c>
      <c r="AL16" s="10"/>
      <c r="AM16" s="361" t="s">
        <v>93</v>
      </c>
      <c r="AN16" s="362">
        <f>B16</f>
        <v>0</v>
      </c>
      <c r="AO16" s="363" t="str">
        <f>IF(AND(AN16="", AN11="Liquid"),
   "Liquid fuel: please select one unit of measurement among m³ and L",
IF(AND(OR(AN16="m³ - cubic meters", AN16="L - Liter"), AN11="Liquid"),
   "",
IF(AND(OR(AN16="Gg - Gigagram", AN16="t - tonne", AN16="Kg - Kilogram", AN16="g - gram"), AN11="Liquid"),
   "Liquid fuel: please change unit of measurement, select one among m³ and L",
IF(AND(AN16="", AN11="Gaseous"),
   "Gaseous fuel: please select one unit of measurement among m³ and L",
IF(AND(OR(AN16="m³ - cubic meters", AN16="L - Liter"), AN11="Gaseous"),
   "",
IF(AND(OR(AN16="Gg - Gigagram", AN16="t - tonne", AN16="Kg - Kilogram", AN16="g - gram"), AN11="Gaseous"),
   "Gaseous fuel: please change unit of measurement, select one among m³ and L",
IF(AND(AN16="", AN11="Solid"),
   "Solid fuel: please select one unit of measurement among Gg, t, Kg and g",
IF(AND(OR(AN16="Gg - Gigagram", AN16="t - tonne", AN16="Kg - Kilogram", AN16="g - gram"), AN11="Solid"),
   "",
IF(AND(OR(AN16="m³ - cubic meters", AN16="L - Liter"), AN11="Solid"),
   "Solid fuel: please change unit of measurement, select one among Gg, t, Kg and g",
"")))))))))</f>
        <v/>
      </c>
      <c r="AP16" s="10"/>
      <c r="AQ16" s="361" t="s">
        <v>93</v>
      </c>
      <c r="AR16" s="362">
        <f>B17</f>
        <v>0</v>
      </c>
      <c r="AS16" s="363" t="str">
        <f>IF(AND(AR16="", AR11="Liquid"),
   "Liquid fuel: please select one unit of measurement among m³ and L",
IF(AND(OR(AR16="m³ - cubic meters", AR16="L - Liter"), AR11="Liquid"),
   "",
IF(AND(OR(AR16="Gg - Gigagram", AR16="t - tonne", AR16="Kg - Kilogram", AR16="g - gram"), AR11="Liquid"),
   "Liquid fuel: please change unit of measurement, select one among m³ and L",
IF(AND(AR16="", AR11="Gaseous"),
   "Gaseous fuel: please select one unit of measurement among m³ and L",
IF(AND(OR(AR16="m³ - cubic meters", AR16="L - Liter"), AR11="Gaseous"),
   "",
IF(AND(OR(AR16="Gg - Gigagram", AR16="t - tonne", AR16="Kg - Kilogram", AR16="g - gram"), AR11="Gaseous"),
   "Gaseous fuel: please change unit of measurement, select one among m³ and L",
IF(AND(AR16="", AR11="Solid"),
   "Solid fuel: please select one unit of measurement among Gg, t, Kg and g",
IF(AND(OR(AR16="Gg - Gigagram", AR16="t - tonne", AR16="Kg - Kilogram", AR16="g - gram"), AR11="Solid"),
   "",
IF(AND(OR(AR16="m³ - cubic meters", AR16="L - Liter"), AR11="Solid"),
   "Solid fuel: please change unit of measurement, select one among Gg, t, Kg and g",
"")))))))))</f>
        <v/>
      </c>
      <c r="AU16" s="361" t="s">
        <v>93</v>
      </c>
      <c r="AV16" s="362">
        <f>B18</f>
        <v>0</v>
      </c>
      <c r="AW16" s="363" t="str">
        <f>IF(AND(AV16="", AV11="Liquid"),
   "Liquid fuel: please select one unit of measurement among m³ and L",
IF(AND(OR(AV16="m³ - cubic meters", AV16="L - Liter"), AV11="Liquid"),
   "",
IF(AND(OR(AV16="Gg - Gigagram", AV16="t - tonne", AV16="Kg - Kilogram", AV16="g - gram"), AV11="Liquid"),
   "Liquid fuel: please change unit of measurement, select one among m³ and L",
IF(AND(AV16="", AV11="Gaseous"),
   "Gaseous fuel: please select one unit of measurement among m³ and L",
IF(AND(OR(AV16="m³ - cubic meters", AV16="L - Liter"), AV11="Gaseous"),
   "",
IF(AND(OR(AV16="Gg - Gigagram", AV16="t - tonne", AV16="Kg - Kilogram", AV16="g - gram"), AV11="Gaseous"),
   "Gaseous fuel: please change unit of measurement, select one among m³ and L",
IF(AND(AV16="", AV11="Solid"),
   "Solid fuel: please select one unit of measurement among Gg, t, Kg and g",
IF(AND(OR(AV16="Gg - Gigagram", AV16="t - tonne", AV16="Kg - Kilogram", AV16="g - gram"), AV11="Solid"),
   "",
IF(AND(OR(AV16="m³ - cubic meters", AV16="L - Liter"), AV11="Solid"),
   "Solid fuel: please change unit of measurement, select one among Gg, t, Kg and g",
"")))))))))</f>
        <v/>
      </c>
      <c r="AY16" s="361" t="s">
        <v>93</v>
      </c>
      <c r="AZ16" s="362">
        <f>B19</f>
        <v>0</v>
      </c>
      <c r="BA16" s="363" t="str">
        <f>IF(AND(AZ16="", AZ11="Liquid"),
   "Liquid fuel: please select one unit of measurement among m³ and L",
IF(AND(OR(AZ16="m³ - cubic meters", AZ16="L - Liter"), AZ11="Liquid"),
   "",
IF(AND(OR(AZ16="Gg - Gigagram", AZ16="t - tonne", AZ16="Kg - Kilogram", AZ16="g - gram"), AZ11="Liquid"),
   "Liquid fuel: please change unit of measurement, select one among m³ and L",
IF(AND(AZ16="", AZ11="Gaseous"),
   "Gaseous fuel: please select one unit of measurement among m³ and L",
IF(AND(OR(AZ16="m³ - cubic meters", AZ16="L - Liter"), AZ11="Gaseous"),
   "",
IF(AND(OR(AZ16="Gg - Gigagram", AZ16="t - tonne", AZ16="Kg - Kilogram", AZ16="g - gram"), AZ11="Gaseous"),
   "Gaseous fuel: please change unit of measurement, select one among m³ and L",
IF(AND(AZ16="", AZ11="Solid"),
   "Solid fuel: please select one unit of measurement among Gg, t, Kg and g",
IF(AND(OR(AZ16="Gg - Gigagram", AZ16="t - tonne", AZ16="Kg - Kilogram", AZ16="g - gram"), AZ11="Solid"),
   "",
IF(AND(OR(AZ16="m³ - cubic meters", AZ16="L - Liter"), AZ11="Solid"),
   "Solid fuel: please change unit of measurement, select one among Gg, t, Kg and g",
"")))))))))</f>
        <v/>
      </c>
    </row>
    <row r="17" spans="1:53" ht="15" thickBot="1" x14ac:dyDescent="0.35">
      <c r="A17" s="317"/>
      <c r="B17" s="317"/>
      <c r="C17" s="318"/>
      <c r="D17" s="331" t="str">
        <f>AR11</f>
        <v>-</v>
      </c>
      <c r="E17" s="332" t="str">
        <f>AR12</f>
        <v>-</v>
      </c>
      <c r="F17" s="329" t="str">
        <f>IF(C17="","-",AQ23)</f>
        <v>-</v>
      </c>
      <c r="G17" s="1133" t="str">
        <f t="shared" si="0"/>
        <v/>
      </c>
      <c r="H17" s="1134"/>
      <c r="J17" s="10" t="str">
        <f>template_label_8_in_cell_a31_is_displayed_the_total_renewable_energy_in_mega_watt_hours</f>
        <v>8. La cellule A32 affiche l’énergie renouvelable totale en mégawattheures (MWh).</v>
      </c>
      <c r="O17" s="330" t="s">
        <v>94</v>
      </c>
      <c r="P17" s="364">
        <f>C10</f>
        <v>0</v>
      </c>
      <c r="Q17" s="356"/>
      <c r="S17" s="330" t="s">
        <v>94</v>
      </c>
      <c r="T17" s="364">
        <f>C11</f>
        <v>0</v>
      </c>
      <c r="U17" s="356"/>
      <c r="W17" s="330" t="s">
        <v>94</v>
      </c>
      <c r="X17" s="364">
        <f>C12</f>
        <v>0</v>
      </c>
      <c r="Y17" s="356"/>
      <c r="AA17" s="330" t="s">
        <v>94</v>
      </c>
      <c r="AB17" s="364">
        <f>C13</f>
        <v>0</v>
      </c>
      <c r="AC17" s="356"/>
      <c r="AE17" s="330" t="s">
        <v>94</v>
      </c>
      <c r="AF17" s="364">
        <f>C14</f>
        <v>0</v>
      </c>
      <c r="AG17" s="356"/>
      <c r="AI17" s="330" t="s">
        <v>94</v>
      </c>
      <c r="AJ17" s="364">
        <f>C15</f>
        <v>0</v>
      </c>
      <c r="AK17" s="356"/>
      <c r="AL17" s="10"/>
      <c r="AM17" s="330" t="s">
        <v>94</v>
      </c>
      <c r="AN17" s="364">
        <f>C16</f>
        <v>0</v>
      </c>
      <c r="AO17" s="356"/>
      <c r="AP17" s="10"/>
      <c r="AQ17" s="330" t="s">
        <v>94</v>
      </c>
      <c r="AR17" s="364">
        <f>C17</f>
        <v>0</v>
      </c>
      <c r="AS17" s="356"/>
      <c r="AU17" s="330" t="s">
        <v>94</v>
      </c>
      <c r="AV17" s="364">
        <f>C18</f>
        <v>0</v>
      </c>
      <c r="AW17" s="356"/>
      <c r="AY17" s="330" t="s">
        <v>94</v>
      </c>
      <c r="AZ17" s="364">
        <f>C19</f>
        <v>0</v>
      </c>
      <c r="BA17" s="356"/>
    </row>
    <row r="18" spans="1:53" x14ac:dyDescent="0.3">
      <c r="A18" s="317"/>
      <c r="B18" s="317"/>
      <c r="C18" s="318"/>
      <c r="D18" s="331" t="str">
        <f>AV11</f>
        <v>-</v>
      </c>
      <c r="E18" s="332" t="str">
        <f>AV12</f>
        <v>-</v>
      </c>
      <c r="F18" s="329" t="str">
        <f>IF(C18="","-",AU23)</f>
        <v>-</v>
      </c>
      <c r="G18" s="1133" t="str">
        <f t="shared" si="0"/>
        <v/>
      </c>
      <c r="H18" s="1134"/>
      <c r="J18" s="10" t="str">
        <f>template_label_9_in_cell_b31_is_displayed_the_total_nonrenewable_energy_in_mega_watt_hours</f>
        <v>9. La cellule B32 affiche l’énergie non renouvelable totale en mégawattheures (MWh).</v>
      </c>
      <c r="K18" s="333"/>
      <c r="L18" s="333"/>
      <c r="M18" s="333"/>
      <c r="O18" s="359" t="str">
        <f>IFERROR(VLOOKUP(P10, 'Fuel Conversion Parameters'!$A:$C, 3, FALSE), "")</f>
        <v/>
      </c>
      <c r="P18" s="367" t="str">
        <f>IF(P16="g - gram",P17*0.000000001,
IF(P16="Kg - Kilogram",P17*0.000001,
IF(P16="t - tonne",P17*0.001,
IF(P16="Gg - Gigagram",P17*1,
IF(P16="m³ - cubic meters",P17*1000,
IF(P16="L - Liter",P17*1,
""))))))</f>
        <v/>
      </c>
      <c r="Q18" s="356"/>
      <c r="S18" s="359" t="str">
        <f>IFERROR(VLOOKUP(T10, 'Fuel Conversion Parameters'!$A:$C, 3, FALSE), "")</f>
        <v/>
      </c>
      <c r="T18" s="367" t="str">
        <f>IF(T16="g - gram",T17*0.000000001,
IF(T16="Kg - Kilogram",T17*0.000001,
IF(T16="t - tonne",T17*0.001,
IF(T16="Gg - Gigagram",T17*1,
IF(T16="m³ - cubic meters",T17*1000,
IF(T16="L - Liter",T17*1,
""))))))</f>
        <v/>
      </c>
      <c r="U18" s="356"/>
      <c r="W18" s="359" t="str">
        <f>IFERROR(VLOOKUP(X10, 'Fuel Conversion Parameters'!$A:$C, 3, FALSE), "")</f>
        <v/>
      </c>
      <c r="X18" s="367" t="str">
        <f>IF(X16="g - gram",X17*0.000000001,
IF(X16="Kg - Kilogram",X17*0.000001,
IF(X16="t - tonne",X17*0.001,
IF(X16="Gg - Gigagram",X17*1,
IF(X16="m³ - cubic meters",X17*1000,
IF(X16="L - Liter",X17*1,
""))))))</f>
        <v/>
      </c>
      <c r="Y18" s="356"/>
      <c r="AA18" s="359" t="str">
        <f>IFERROR(VLOOKUP(AB10, 'Fuel Conversion Parameters'!$A:$C, 3, FALSE), "")</f>
        <v/>
      </c>
      <c r="AB18" s="367" t="str">
        <f>IF(AB16="g - gram",AB17*0.000000001,
IF(AB16="Kg - Kilogram",AB17*0.000001,
IF(AB16="t - tonne",AB17*0.001,
IF(AB16="Gg - Gigagram",AB17*1,
IF(AB16="m³ - cubic meters",AB17*1000,
IF(AB16="L - Liter",AB17*1,
""))))))</f>
        <v/>
      </c>
      <c r="AC18" s="356"/>
      <c r="AE18" s="359" t="str">
        <f>IFERROR(VLOOKUP(AF10, 'Fuel Conversion Parameters'!$A:$C, 3, FALSE), "")</f>
        <v/>
      </c>
      <c r="AF18" s="367" t="str">
        <f>IF(AF16="g - gram",AF17*0.000000001,
IF(AF16="Kg - Kilogram",AF17*0.000001,
IF(AF16="t - tonne",AF17*0.001,
IF(AF16="Gg - Gigagram",AF17*1,
IF(AF16="m³ - cubic meters",AF17*1000,
IF(AF16="L - Liter",AF17*1,
""))))))</f>
        <v/>
      </c>
      <c r="AG18" s="356"/>
      <c r="AI18" s="359" t="str">
        <f>IFERROR(VLOOKUP(AJ10, 'Fuel Conversion Parameters'!$A:$C, 3, FALSE), "")</f>
        <v/>
      </c>
      <c r="AJ18" s="367" t="str">
        <f>IF(AJ16="g - gram",AJ17*0.000000001,
IF(AJ16="Kg - Kilogram",AJ17*0.000001,
IF(AJ16="t - tonne",AJ17*0.001,
IF(AJ16="Gg - Gigagram",AJ17*1,
IF(AJ16="m³ - cubic meters",AJ17*1000,
IF(AJ16="L - Liter",AJ17*1,
""))))))</f>
        <v/>
      </c>
      <c r="AK18" s="356"/>
      <c r="AL18" s="10"/>
      <c r="AM18" s="359" t="str">
        <f>IFERROR(VLOOKUP(AN10, 'Fuel Conversion Parameters'!$A:$C, 3, FALSE), "")</f>
        <v/>
      </c>
      <c r="AN18" s="367" t="str">
        <f>IF(AN16="g - gram",AN17*0.000000001,
IF(AN16="Kg - Kilogram",AN17*0.000001,
IF(AN16="t - tonne",AN17*0.001,
IF(AN16="Gg - Gigagram",AN17*1,
IF(AN16="m³ - cubic meters",AN17*1000,
IF(AN16="L - Liter",AN17*1,
""))))))</f>
        <v/>
      </c>
      <c r="AO18" s="356"/>
      <c r="AP18" s="10"/>
      <c r="AQ18" s="370" t="str">
        <f>IFERROR(VLOOKUP(AR10, 'Fuel Conversion Parameters'!$A:$C, 3, FALSE), "")</f>
        <v/>
      </c>
      <c r="AR18" s="367" t="str">
        <f>IF(AR16="g - gram",AR17*0.000000001,
IF(AR16="Kg - Kilogram",AR17*0.000001,
IF(AR16="t - tonne",AR17*0.001,
IF(AR16="Gg - Gigagram",AR17*1,
IF(AR16="m³ - cubic meters",AR17*1000,
IF(AR16="L - Liter",AR17*1,
""))))))</f>
        <v/>
      </c>
      <c r="AS18" s="356"/>
      <c r="AU18" s="359" t="str">
        <f>IFERROR(VLOOKUP(AV10, 'Fuel Conversion Parameters'!$A:$C, 3, FALSE), "")</f>
        <v/>
      </c>
      <c r="AV18" s="367" t="str">
        <f>IF(AV16="g - gram",AV17*0.000000001,
IF(AV16="Kg - Kilogram",AV17*0.000001,
IF(AV16="t - tonne",AV17*0.001,
IF(AV16="Gg - Gigagram",AV17*1,
IF(AV16="m³ - cubic meters",AV17*1000,
IF(AV16="L - Liter",AV17*1,
""))))))</f>
        <v/>
      </c>
      <c r="AW18" s="356"/>
      <c r="AY18" s="359" t="str">
        <f>IFERROR(VLOOKUP(AZ10, 'Fuel Conversion Parameters'!$A:$C, 3, FALSE), "")</f>
        <v/>
      </c>
      <c r="AZ18" s="367" t="str">
        <f>IF(AZ16="g - gram",AZ17*0.000000001,
IF(AZ16="Kg - Kilogram",AZ17*0.000001,
IF(AZ16="t - tonne",AZ17*0.001,
IF(AZ16="Gg - Gigagram",AZ17*1,
IF(AZ16="m³ - cubic meters",AZ17*1000,
IF(AZ16="L - Liter",AZ17*1,
""))))))</f>
        <v/>
      </c>
      <c r="BA18" s="356"/>
    </row>
    <row r="19" spans="1:53" ht="15" thickBot="1" x14ac:dyDescent="0.35">
      <c r="A19" s="371"/>
      <c r="B19" s="371"/>
      <c r="C19" s="372"/>
      <c r="D19" s="334" t="str">
        <f>AZ11</f>
        <v>-</v>
      </c>
      <c r="E19" s="335" t="str">
        <f>AZ12</f>
        <v>-</v>
      </c>
      <c r="F19" s="373" t="str">
        <f>IF(C19="","-",AY23)</f>
        <v>-</v>
      </c>
      <c r="G19" s="1135" t="str">
        <f t="shared" si="0"/>
        <v/>
      </c>
      <c r="H19" s="1136"/>
      <c r="J19" s="345" t="str">
        <f>template_label_10_further_notes_can_be_found_below</f>
        <v>10. Des notes complémentaires sont disponibles ci-dessous.</v>
      </c>
      <c r="O19" s="359" t="str">
        <f>IFERROR(
    IF(AND(P11="Solid"),P18,
        IF(AND(P11="Liquid"),P18*_xlfn.XLOOKUP(P10,'Fuel Conversion Parameters'!$A$2:$A$51,'Fuel Conversion Parameters'!$D$2:$D$51)*10^(-6),
            IF(AND(P11="Gaseous"),P18*_xlfn.XLOOKUP(P10,'Fuel Conversion Parameters'!$A$2:$A$51,'Fuel Conversion Parameters'!$E$2:$E$51)*10^(-3)*10^(-6),"")
        )
    ),
    ""
)</f>
        <v/>
      </c>
      <c r="P19" s="18"/>
      <c r="Q19" s="356"/>
      <c r="S19" s="359" t="str">
        <f>IFERROR(
    IF(AND(T11="Solid"),T18,
        IF(AND(T11="Liquid"),T18*_xlfn.XLOOKUP(T10,'Fuel Conversion Parameters'!$A$2:$A$61,'Fuel Conversion Parameters'!$D$2:$D$61)*10^(-6),
            IF(AND(T11="Gaseous"),T18*_xlfn.XLOOKUP(T10,'Fuel Conversion Parameters'!$A$2:$A$61,'Fuel Conversion Parameters'!$E$2:$E$61)*10^(-3)*10^(-6),"")
        )
    ),
    ""
)</f>
        <v/>
      </c>
      <c r="T19" s="18"/>
      <c r="U19" s="356"/>
      <c r="W19" s="359" t="str">
        <f>IFERROR(
    IF(AND(X11="Solid"),X18,
        IF(AND(X11="Liquid"),X18*_xlfn.XLOOKUP(X10,'Fuel Conversion Parameters'!$A$2:$A$61,'Fuel Conversion Parameters'!$D$2:$D$61)*10^(-6),
            IF(AND(X11="Gaseous"),X18*_xlfn.XLOOKUP(X10,'Fuel Conversion Parameters'!$A$2:$A$61,'Fuel Conversion Parameters'!$E$2:$E$61)*10^(-3)*10^(-6),"")
        )
    ),
    ""
)</f>
        <v/>
      </c>
      <c r="X19" s="18"/>
      <c r="Y19" s="356"/>
      <c r="AA19" s="359" t="str">
        <f>IFERROR(
    IF(AND(AB11="Solid"),AB18,
        IF(AND(AB11="Liquid"),AB18*_xlfn.XLOOKUP(AB10,'Fuel Conversion Parameters'!$A$2:$A$61,'Fuel Conversion Parameters'!$D$2:$D$61)*10^(-6),
            IF(AND(AB11="Gaseous"),AB18*_xlfn.XLOOKUP(AB10,'Fuel Conversion Parameters'!$A$2:$A$61,'Fuel Conversion Parameters'!$E$2:$E$61)*10^(-3)*10^(-6),"")
        )
    ),
    ""
)</f>
        <v/>
      </c>
      <c r="AB19" s="18"/>
      <c r="AC19" s="356"/>
      <c r="AE19" s="359" t="str">
        <f>IFERROR(
    IF(AND(AF11="Solid"),AF18,
        IF(AND(AF11="Liquid"),AF18*_xlfn.XLOOKUP(AF10,'Fuel Conversion Parameters'!$A$2:$A$61,'Fuel Conversion Parameters'!$D$2:$D$61)*10^(-6),
            IF(AND(AF11="Gaseous"),AF18*_xlfn.XLOOKUP(AF10,'Fuel Conversion Parameters'!$A$2:$A$61,'Fuel Conversion Parameters'!$E$2:$E$61)*10^(-3)*10^(-6),"")
        )
    ),
    ""
)</f>
        <v/>
      </c>
      <c r="AF19" s="18"/>
      <c r="AG19" s="356"/>
      <c r="AI19" s="359" t="str">
        <f>IFERROR(
    IF(AND(AJ11="Solid"),AJ18,
        IF(AND(AJ11="Liquid"),AJ18*_xlfn.XLOOKUP(AJ10,'Fuel Conversion Parameters'!$A$2:$A$61,'Fuel Conversion Parameters'!$D$2:$D$61)*10^(-6),
            IF(AND(AJ11="Gaseous"),AJ18*_xlfn.XLOOKUP(AJ10,'Fuel Conversion Parameters'!$A$2:$A$61,'Fuel Conversion Parameters'!$E$2:$E$61)*10^(-3)*10^(-6),"")
        )
    ),
    ""
)</f>
        <v/>
      </c>
      <c r="AJ19" s="18"/>
      <c r="AK19" s="356"/>
      <c r="AL19" s="10"/>
      <c r="AM19" s="370" t="str">
        <f>IFERROR(
    IF(AND(AN11="Solid"),AN18,
        IF(AND(AN11="Liquid"),AN18*_xlfn.XLOOKUP(AN10,'Fuel Conversion Parameters'!$A$2:$A$61,'Fuel Conversion Parameters'!$D$2:$D$61)*10^(-6),
            IF(AND(AN11="Gaseous"),AN18*_xlfn.XLOOKUP(AN10,'Fuel Conversion Parameters'!$A$2:$A$61,'Fuel Conversion Parameters'!$E$2:$E$61)*10^(-3)*10^(-6),"")
        )
    ),
    ""
)</f>
        <v/>
      </c>
      <c r="AN19" s="18"/>
      <c r="AO19" s="356"/>
      <c r="AP19" s="10"/>
      <c r="AQ19" s="370" t="str">
        <f>IFERROR(
    IF(AND(AR11="Solid"),AR18,
        IF(AND(AR11="Liquid"),AR18*_xlfn.XLOOKUP(AR10,'Fuel Conversion Parameters'!$A$2:$A$61,'Fuel Conversion Parameters'!$D$2:$D$61)*10^(-6),
            IF(AND(AR11="Gaseous"),AR18*_xlfn.XLOOKUP(AR10,'Fuel Conversion Parameters'!$A$2:$A$61,'Fuel Conversion Parameters'!$E$2:$E$61)*10^(-3)*10^(-6),"")
        )
    ),
    ""
)</f>
        <v/>
      </c>
      <c r="AR19" s="18"/>
      <c r="AS19" s="356"/>
      <c r="AU19" s="359" t="str">
        <f>IFERROR(
    IF(AND(AV11="Solid"),AV18,
        IF(AND(AV11="Liquid"),AV18*_xlfn.XLOOKUP(AV10,'Fuel Conversion Parameters'!$A$2:$A$61,'Fuel Conversion Parameters'!$D$2:$D$61)*10^(-6),
            IF(AND(AV11="Gaseous"),AV18*_xlfn.XLOOKUP(AV10,'Fuel Conversion Parameters'!$A$2:$A$61,'Fuel Conversion Parameters'!$E$2:$E$61)*10^(-3)*10^(-6),"")
        )
    ),
    ""
)</f>
        <v/>
      </c>
      <c r="AV19" s="18"/>
      <c r="AW19" s="356"/>
      <c r="AY19" s="359" t="str">
        <f>IFERROR(
    IF(AND(AZ11="Solid"),AZ18,
        IF(AND(AZ11="Liquid"),AZ18*_xlfn.XLOOKUP(AZ10,'Fuel Conversion Parameters'!$A$2:$A$61,'Fuel Conversion Parameters'!$D$2:$D$61)*10^(-6),
            IF(AND(AZ11="Gaseous"),AZ18*_xlfn.XLOOKUP(AZ10,'Fuel Conversion Parameters'!$A$2:$A$61,'Fuel Conversion Parameters'!$E$2:$E$61)*10^(-3)*10^(-6),"")
        )
    ),
    ""
)</f>
        <v/>
      </c>
      <c r="AZ19" s="18"/>
      <c r="BA19" s="356"/>
    </row>
    <row r="20" spans="1:53" x14ac:dyDescent="0.3">
      <c r="A20" s="10"/>
      <c r="B20" s="10"/>
      <c r="O20" s="368" t="str">
        <f>IFERROR(IF(OR(O19="", O18=""), "", O19*O18), "")</f>
        <v/>
      </c>
      <c r="Q20" s="356"/>
      <c r="S20" s="368" t="str">
        <f>IFERROR(IF(OR(S19="", S18=""), "", S19*S18), "")</f>
        <v/>
      </c>
      <c r="U20" s="356"/>
      <c r="W20" s="368" t="str">
        <f>IFERROR(IF(OR(W19="", W18=""), "", W19*W18), "")</f>
        <v/>
      </c>
      <c r="Y20" s="356"/>
      <c r="AA20" s="368" t="str">
        <f>IFERROR(IF(OR(AA19="", AA18=""), "", AA19*AA18), "")</f>
        <v/>
      </c>
      <c r="AC20" s="356"/>
      <c r="AE20" s="368" t="str">
        <f>IFERROR(IF(OR(AE19="", AE18=""), "", AE19*AE18), "")</f>
        <v/>
      </c>
      <c r="AG20" s="356"/>
      <c r="AI20" s="368" t="str">
        <f>IFERROR(IF(OR(AI19="", AI18=""), "", AI19*AI18), "")</f>
        <v/>
      </c>
      <c r="AK20" s="356"/>
      <c r="AL20" s="10"/>
      <c r="AM20" s="368" t="str">
        <f>IFERROR(IF(OR(AM19="", AM18=""), "", AM19*AM18), "")</f>
        <v/>
      </c>
      <c r="AN20" s="10"/>
      <c r="AO20" s="356"/>
      <c r="AP20" s="10"/>
      <c r="AQ20" s="368" t="str">
        <f>IFERROR(IF(OR(AQ19="", AQ18=""), "", AQ19*AQ18), "")</f>
        <v/>
      </c>
      <c r="AS20" s="356"/>
      <c r="AU20" s="368" t="str">
        <f>IFERROR(IF(OR(AU19="", AU18=""), "", AU19*AU18), "")</f>
        <v/>
      </c>
      <c r="AW20" s="356"/>
      <c r="AY20" s="368" t="str">
        <f>IFERROR(IF(OR(AY19="", AY18=""), "", AY19*AY18), "")</f>
        <v/>
      </c>
      <c r="BA20" s="356"/>
    </row>
    <row r="21" spans="1:53" ht="15" thickBot="1" x14ac:dyDescent="0.35">
      <c r="A21" s="10"/>
      <c r="B21" s="10"/>
      <c r="I21" s="333"/>
      <c r="J21" s="333"/>
      <c r="K21" s="333"/>
      <c r="L21" s="333"/>
      <c r="M21" s="333"/>
      <c r="O21" s="359" t="str">
        <f>IFERROR(O20, "")</f>
        <v/>
      </c>
      <c r="Q21" s="356"/>
      <c r="S21" s="359" t="str">
        <f>IFERROR(S20, "")</f>
        <v/>
      </c>
      <c r="U21" s="356"/>
      <c r="W21" s="369" t="str">
        <f>IFERROR(W20, "")</f>
        <v/>
      </c>
      <c r="Y21" s="356"/>
      <c r="AA21" s="359" t="str">
        <f>IFERROR(AA20, "")</f>
        <v/>
      </c>
      <c r="AC21" s="356"/>
      <c r="AE21" s="359" t="str">
        <f>IFERROR(AE20, "")</f>
        <v/>
      </c>
      <c r="AG21" s="356"/>
      <c r="AI21" s="359" t="str">
        <f>IFERROR(AI20, "")</f>
        <v/>
      </c>
      <c r="AK21" s="356"/>
      <c r="AL21" s="10"/>
      <c r="AM21" s="370" t="str">
        <f>IFERROR(AM20, "")</f>
        <v/>
      </c>
      <c r="AN21" s="10"/>
      <c r="AO21" s="356"/>
      <c r="AP21" s="10"/>
      <c r="AQ21" s="370" t="str">
        <f>IFERROR(AQ20, "")</f>
        <v/>
      </c>
      <c r="AS21" s="356"/>
      <c r="AU21" s="359" t="str">
        <f>IFERROR(AU20, "")</f>
        <v/>
      </c>
      <c r="AW21" s="356"/>
      <c r="AY21" s="359" t="str">
        <f>IFERROR(AY20, "")</f>
        <v/>
      </c>
      <c r="BA21" s="356"/>
    </row>
    <row r="22" spans="1:53" ht="15" thickBot="1" x14ac:dyDescent="0.35">
      <c r="A22" s="10"/>
      <c r="B22" s="10"/>
      <c r="O22" s="330" t="s">
        <v>95</v>
      </c>
      <c r="P22" s="10" t="str">
        <f>IFERROR(IF(AND(P17&lt;&gt;0,O23=0),"ERROR",""),"")</f>
        <v/>
      </c>
      <c r="Q22" s="356"/>
      <c r="S22" s="330" t="s">
        <v>95</v>
      </c>
      <c r="T22" s="10" t="str">
        <f>IFERROR(IF(AND(T17&lt;&gt;0,S23=0),"ERROR",""),"")</f>
        <v/>
      </c>
      <c r="U22" s="356"/>
      <c r="W22" s="330" t="s">
        <v>95</v>
      </c>
      <c r="X22" s="10" t="str">
        <f>IFERROR(IF(AND(X17&lt;&gt;0,W23=0),"ERROR",""),"")</f>
        <v/>
      </c>
      <c r="Y22" s="356"/>
      <c r="AA22" s="330" t="s">
        <v>95</v>
      </c>
      <c r="AB22" s="10" t="str">
        <f>IFERROR(IF(AND(AB17&lt;&gt;0,AA23=0),"ERROR",""),"")</f>
        <v/>
      </c>
      <c r="AC22" s="356"/>
      <c r="AE22" s="330" t="s">
        <v>95</v>
      </c>
      <c r="AF22" s="10" t="str">
        <f>IFERROR(IF(AND(AF17&lt;&gt;0,AE23=0),"ERROR",""),"")</f>
        <v/>
      </c>
      <c r="AG22" s="356"/>
      <c r="AI22" s="330" t="s">
        <v>95</v>
      </c>
      <c r="AJ22" s="10" t="str">
        <f>IFERROR(IF(AND(AJ17&lt;&gt;0,AI23=0),"ERROR",""),"")</f>
        <v/>
      </c>
      <c r="AK22" s="356"/>
      <c r="AL22" s="10"/>
      <c r="AM22" s="330" t="s">
        <v>95</v>
      </c>
      <c r="AN22" s="10" t="str">
        <f>IFERROR(IF(AND(AN17&lt;&gt;0,AM23=0),"ERROR",""),"")</f>
        <v/>
      </c>
      <c r="AO22" s="356"/>
      <c r="AP22" s="10"/>
      <c r="AQ22" s="330" t="s">
        <v>95</v>
      </c>
      <c r="AR22" s="10" t="str">
        <f>IFERROR(IF(AND(AR17&lt;&gt;0,AQ23=0),"ERROR",""),"")</f>
        <v/>
      </c>
      <c r="AS22" s="356"/>
      <c r="AU22" s="330" t="s">
        <v>95</v>
      </c>
      <c r="AV22" s="10" t="str">
        <f>IFERROR(IF(AND(AV17&lt;&gt;0,AU23=0),"ERROR",""),"")</f>
        <v/>
      </c>
      <c r="AW22" s="356"/>
      <c r="AY22" s="330" t="s">
        <v>95</v>
      </c>
      <c r="AZ22" s="10" t="str">
        <f>IFERROR(IF(AND(AZ17&lt;&gt;0,AY23=0),"ERROR",""),"")</f>
        <v/>
      </c>
      <c r="BA22" s="356"/>
    </row>
    <row r="23" spans="1:53" x14ac:dyDescent="0.3">
      <c r="A23" s="1144" t="str">
        <f>template_label_transfer_the_total_results_to_the_b3_fuel_energy_consumption_reporting_cell</f>
        <v>Transférez les résultats totaux calculés dans la cellule B3 « Consommation d’énergie des carburants » du rapport.</v>
      </c>
      <c r="B23" s="1145"/>
      <c r="C23" s="1146"/>
      <c r="D23" s="1150" t="b">
        <v>0</v>
      </c>
      <c r="E23" s="1151"/>
      <c r="F23" s="1152"/>
      <c r="O23" s="366" t="str">
        <f>IF(OR(
   O21="",
   P17="",
   Q16="Liquid fuel: please change unit of measurement, select one among m³ and L",
   Q16="Gaseous fuel: please change unit of measurement, select one among m³ and L",
   Q16="Solid fuel: please change unit of measurement, select one among Gg, t, Kg and g"
),
"-",
IFERROR(O21*277.778, "")
)</f>
        <v>-</v>
      </c>
      <c r="P23" s="325"/>
      <c r="Q23" s="365"/>
      <c r="S23" s="366" t="str">
        <f>IF(OR(
   S21="",
   T17="",
   U16="Liquid fuel: please change unit of measurement, select one among m³ and L",
   U16="Gaseous fuel: please change unit of measurement, select one among m³ and L",
   U16="Solid fuel: please change unit of measurement, select one among Gg, t, Kg and g"
),
"-",
IFERROR(S21*277.778, "")
)</f>
        <v>-</v>
      </c>
      <c r="T23" s="325"/>
      <c r="U23" s="365"/>
      <c r="W23" s="366" t="str">
        <f>IF(OR(
   W21="",
   X17="",
   Y16="Liquid fuel: please change unit of measurement, select one among m³ and L",
   Y16="Gaseous fuel: please change unit of measurement, select one among m³ and L",
   Y16="Solid fuel: please change unit of measurement, select one among Gg, t, Kg and g"
),
"-",
IFERROR(W21*277.778, "")
)</f>
        <v>-</v>
      </c>
      <c r="X23" s="325"/>
      <c r="Y23" s="365"/>
      <c r="AA23" s="366" t="str">
        <f>IF(OR(
   AA21="",
   AB17="",
   AC16="Liquid fuel: please change unit of measurement, select one among m³ and L",
   AC16="Gaseous fuel: please change unit of measurement, select one among m³ and L",
   AC16="Solid fuel: please change unit of measurement, select one among Gg, t, Kg and g"
),
"-",
IFERROR(AA21*277.778, "")
)</f>
        <v>-</v>
      </c>
      <c r="AB23" s="325"/>
      <c r="AC23" s="365"/>
      <c r="AE23" s="366" t="str">
        <f>IF(OR(
   AE21="",
   AF17="",
   AG16="Liquid fuel: please change unit of measurement, select one among m³ and L",
   AG16="Gaseous fuel: please change unit of measurement, select one among m³ and L",
   AG16="Solid fuel: please change unit of measurement, select one among Gg, t, Kg and g"
),
"-",
IFERROR(AE21*277.778, "")
)</f>
        <v>-</v>
      </c>
      <c r="AF23" s="325"/>
      <c r="AG23" s="365"/>
      <c r="AI23" s="366" t="str">
        <f>IF(OR(
   AI21="",
   AJ17="",
   AK16="Liquid fuel: please change unit of measurement, select one among m³ and L",
   AK16="Gaseous fuel: please change unit of measurement, select one among m³ and L",
   AK16="Solid fuel: please change unit of measurement, select one among Gg, t, Kg and g"
),
"-",
IFERROR(AI21*277.778, "")
)</f>
        <v>-</v>
      </c>
      <c r="AJ23" s="325"/>
      <c r="AK23" s="365"/>
      <c r="AL23" s="10"/>
      <c r="AM23" s="366" t="str">
        <f>IF(OR(
   AM21="",
   AN17="",
   AO16="Liquid fuel: please change unit of measurement, select one among m³ and L",
   AO16="Gaseous fuel: please change unit of measurement, select one among m³ and L",
   AO16="Solid fuel: please change unit of measurement, select one among Gg, t, Kg and g"
),
"-",
IFERROR(AM21*277.778, "")
)</f>
        <v>-</v>
      </c>
      <c r="AN23" s="325"/>
      <c r="AO23" s="365"/>
      <c r="AP23" s="10"/>
      <c r="AQ23" s="366" t="str">
        <f>IF(OR(
   AQ21="",
   AR17="",
   AS16="Liquid fuel: please change unit of measurement, select one among m³ and L",
   AS16="Gaseous fuel: please change unit of measurement, select one among m³ and L",
   AS16="Solid fuel: please change unit of measurement, select one among Gg, t, Kg and g"
),
"-",
IFERROR(AQ21*277.778, "")
)</f>
        <v>-</v>
      </c>
      <c r="AR23" s="325"/>
      <c r="AS23" s="365"/>
      <c r="AU23" s="366" t="str">
        <f>IF(OR(
   AU21="",
   AV17="",
   AW16="Liquid fuel: please change unit of measurement, select one among m³ and L",
   AW16="Gaseous fuel: please change unit of measurement, select one among m³ and L",
   AW16="Solid fuel: please change unit of measurement, select one among Gg, t, Kg and g"
),
"-",
IFERROR(AU21*277.778, "")
)</f>
        <v>-</v>
      </c>
      <c r="AV23" s="325"/>
      <c r="AW23" s="365"/>
      <c r="AY23" s="366" t="str">
        <f>IF(OR(
   AY21="",
   AZ17="",
   BA16="Liquid fuel: please change unit of measurement, select one among m³ and L",
   BA16="Gaseous fuel: please change unit of measurement, select one among m³ and L",
   BA16="Solid fuel: please change unit of measurement, select one among Gg, t, Kg and g"
),
"-",
IFERROR(AY21*277.778, "")
)</f>
        <v>-</v>
      </c>
      <c r="AZ23" s="325"/>
      <c r="BA23" s="365"/>
    </row>
    <row r="24" spans="1:53" ht="15" thickBot="1" x14ac:dyDescent="0.35">
      <c r="A24" s="1147"/>
      <c r="B24" s="1148"/>
      <c r="C24" s="1149"/>
      <c r="D24" s="1153"/>
      <c r="E24" s="1154"/>
      <c r="F24" s="1155"/>
      <c r="AL24" s="10"/>
      <c r="AN24" s="10"/>
      <c r="AO24" s="10"/>
      <c r="AP24" s="10"/>
    </row>
    <row r="25" spans="1:53" x14ac:dyDescent="0.3">
      <c r="B25" s="10"/>
      <c r="AL25" s="10"/>
      <c r="AN25" s="10"/>
      <c r="AO25" s="10"/>
      <c r="AP25" s="10"/>
    </row>
    <row r="26" spans="1:53" x14ac:dyDescent="0.3">
      <c r="A26" s="10"/>
      <c r="B26" s="10"/>
      <c r="M26" s="10" t="str">
        <f>IF(P24="m³ - cubic meters",M25*1000,
IF(P24="L - Liter",M25*1,
""))</f>
        <v/>
      </c>
      <c r="Q26" s="10" t="str">
        <f>IF(T24="m³ - cubic meters",Q25*1000,
IF(T24="L - Liter",Q25*1,
""))</f>
        <v/>
      </c>
      <c r="U26" s="10" t="str">
        <f>IF(X24="m³ - cubic meters",U25*1000,
IF(X24="L - Liter",U25*1,
""))</f>
        <v/>
      </c>
      <c r="Y26" s="10" t="str">
        <f>IF(AB24="m³ - cubic meters",Y25*1000,
IF(AB24="L - Liter",Y25*1,
""))</f>
        <v/>
      </c>
      <c r="AC26" s="10" t="str">
        <f>IF(AF24="m³ - cubic meters",AC25*1000,
IF(AF24="L - Liter",AC25*1,
""))</f>
        <v/>
      </c>
      <c r="AG26" s="10" t="str">
        <f>IF(AJ24="m³ - cubic meters",AG25*1000,
IF(AJ24="L - Liter",AG25*1,
""))</f>
        <v/>
      </c>
      <c r="AK26" s="10" t="str">
        <f>IF(AN24="m³ - cubic meters",AK25*1000,
IF(AN24="L - Liter",AK25*1,
""))</f>
        <v/>
      </c>
      <c r="AL26" s="10"/>
      <c r="AN26" s="10"/>
      <c r="AO26" s="10" t="str">
        <f>IF(AR24="m³ - cubic meters",AO25*1000,
IF(AR24="L - Liter",AO25*1,
""))</f>
        <v/>
      </c>
      <c r="AP26" s="10"/>
      <c r="AS26" s="10" t="str">
        <f>IF(AV24="m³ - cubic meters",AS25*1000,
IF(AV24="L - Liter",AS25*1,
""))</f>
        <v/>
      </c>
    </row>
    <row r="27" spans="1:53" ht="15" thickBot="1" x14ac:dyDescent="0.35">
      <c r="B27" s="10"/>
      <c r="AL27" s="10"/>
      <c r="AN27" s="10"/>
      <c r="AO27" s="10"/>
      <c r="AP27" s="10"/>
    </row>
    <row r="28" spans="1:53" ht="15" thickBot="1" x14ac:dyDescent="0.35">
      <c r="A28" s="1140" t="str">
        <f>template_label_total_energy</f>
        <v>Consommation d’énergie totale [MWh]</v>
      </c>
      <c r="B28" s="1141"/>
      <c r="AL28" s="10"/>
      <c r="AN28" s="10"/>
      <c r="AO28" s="10"/>
      <c r="AP28" s="10"/>
    </row>
    <row r="29" spans="1:53" ht="15" thickBot="1" x14ac:dyDescent="0.35">
      <c r="A29" s="1142" t="str" cm="1">
        <f t="array" ref="A29">_xlfn.IFS(AND(A32="-",B32="-"),"-",AND(A32="-",B32&lt;&gt;"-"),B32,AND(A32&lt;&gt;"-",B32="-"),A32,AND(A32&lt;&gt;"-",B32&lt;&gt;"-"),A32+B32)</f>
        <v>-</v>
      </c>
      <c r="B29" s="1143"/>
      <c r="AL29" s="10"/>
      <c r="AN29" s="10"/>
      <c r="AO29" s="10"/>
      <c r="AP29" s="10"/>
    </row>
    <row r="30" spans="1:53" ht="15" thickBot="1" x14ac:dyDescent="0.35">
      <c r="A30" s="10"/>
      <c r="B30" s="10"/>
      <c r="AL30" s="10"/>
      <c r="AN30" s="10"/>
      <c r="AO30" s="10"/>
    </row>
    <row r="31" spans="1:53" ht="15" thickBot="1" x14ac:dyDescent="0.35">
      <c r="A31" s="330" t="str">
        <f>template_label_total_renewable_energy</f>
        <v>Énergie renouvelable totale [MWh]</v>
      </c>
      <c r="B31" s="326" t="str">
        <f>template_label_total_nonrenewable_energy</f>
        <v>Consommation d’énergie non renouvelable [MWh]</v>
      </c>
      <c r="AN31" s="10"/>
      <c r="AO31" s="10"/>
      <c r="AP31" s="10"/>
    </row>
    <row r="32" spans="1:53" ht="15" thickBot="1" x14ac:dyDescent="0.35">
      <c r="A32" s="336" t="str" cm="1">
        <f t="array" ref="A32">_xlfn.IFS(AND(H9=template_label_complete, COUNTIF(E10:E19, "Renewable") = 0), "-",
AND(H9=template_label_complete, COUNTIF(E10:E19, "Renewable") &gt; 0), SUMIF(E10:E19,"Renewable",F10:F19),
H9=template_label_incomplete, "-",
H9="-", "-")</f>
        <v>-</v>
      </c>
      <c r="B32" s="336" t="str" cm="1">
        <f t="array" ref="B32">_xlfn.IFS(AND(H9=template_label_complete, COUNTIF(E10:E19, "Non-renewable") = 0), "-",
AND(H9=template_label_complete, COUNTIF(E10:E19, "Non-renewable") &gt; 0), SUMIF(E10:E19,"Non-renewable",F10:F19),
H9=template_label_incomplete, "-",
H9="-", "-")</f>
        <v>-</v>
      </c>
      <c r="R32" s="320"/>
      <c r="AL32" s="10"/>
      <c r="AN32" s="10"/>
      <c r="AO32" s="10"/>
      <c r="AP32" s="10"/>
    </row>
    <row r="33" spans="1:42" x14ac:dyDescent="0.3">
      <c r="A33" s="337"/>
      <c r="B33" s="10"/>
      <c r="AL33" s="10"/>
      <c r="AN33" s="10"/>
      <c r="AO33" s="10"/>
      <c r="AP33" s="10"/>
    </row>
    <row r="34" spans="1:42" x14ac:dyDescent="0.3">
      <c r="A34" s="10"/>
      <c r="B34" s="10"/>
      <c r="AL34" s="10"/>
      <c r="AN34" s="10"/>
      <c r="AO34" s="10"/>
      <c r="AP34" s="10"/>
    </row>
    <row r="35" spans="1:42" x14ac:dyDescent="0.3">
      <c r="A35" s="10"/>
      <c r="B35" s="10"/>
      <c r="AL35" s="10"/>
      <c r="AN35" s="10"/>
      <c r="AO35" s="10"/>
      <c r="AP35" s="10"/>
    </row>
    <row r="36" spans="1:42" x14ac:dyDescent="0.3">
      <c r="A36" s="320" t="str">
        <f>template_label_further_notes</f>
        <v>Notes complémentaires :</v>
      </c>
      <c r="B36" s="10"/>
      <c r="AL36" s="10"/>
      <c r="AN36" s="10"/>
      <c r="AO36" s="10"/>
      <c r="AP36" s="10"/>
    </row>
    <row r="37" spans="1:42" ht="257.39999999999998" customHeight="1" x14ac:dyDescent="0.3">
      <c r="A37" s="980" t="str">
        <f>template_label_the_converter_offers_the_possibility_of_calculating_simultaneously_up_to_10_different_types_of_fuel</f>
        <v>Le convertisseur offre la possibilité de calculer simultanément jusqu’à 10 types de carburants différents. Pour ce faire, veuillez développer les colonnes masquées en utilisant l’icône « plus » située en haut du document.
Chaque convertisseur de carburant développé fonctionne exactement comme expliqué ci-dessus.
Il est important de noter que le calcul automatique effectué par le convertisseur de carburants utilise des valeurs de pouvoir calorifique net (PCN) et de densité typiques pour chaque type de combustible. Si l’entreprise est en mesure de fournir les PCN et densités spécifiques des combustibles utilisés, il est possible de calculer la consommation d’énergie par heure en MWh en intégrant ces valeurs spécifiques dans les formules automatisées de la feuille du convertisseur.
Ci-dessous, les formules sont fournies au cas où une solution de calcul non automatisée, utilisant des valeurs spécifiques, serait préférée à celle du convertisseur. Si vous devez convertir l’unité de mesure de vos valeurs spécifiques, veuillez utiliser le convertisseur d’unités de mesure.</v>
      </c>
      <c r="B37" s="980"/>
      <c r="AL37" s="10"/>
      <c r="AN37" s="10"/>
      <c r="AO37" s="10"/>
      <c r="AP37" s="10"/>
    </row>
    <row r="38" spans="1:42" x14ac:dyDescent="0.3">
      <c r="A38" s="10"/>
      <c r="B38" s="10"/>
      <c r="AL38" s="10"/>
      <c r="AN38" s="10"/>
      <c r="AO38" s="10"/>
      <c r="AP38" s="10"/>
    </row>
    <row r="39" spans="1:42" x14ac:dyDescent="0.3">
      <c r="A39" s="1138" t="str">
        <f>template_label_energy_consumption_per_hour_in_mwh_for_solid_fuels</f>
        <v>Consommation d'énergie par heure en MWh pour les combustibles solides :</v>
      </c>
      <c r="B39" s="1138"/>
      <c r="AL39" s="10"/>
      <c r="AN39" s="10"/>
      <c r="AO39" s="10"/>
      <c r="AP39" s="10"/>
    </row>
    <row r="40" spans="1:42" ht="18" x14ac:dyDescent="0.35">
      <c r="A40" s="1139" t="str">
        <f>template_label_energy_solid_fuels</f>
        <v>Énergie [MWh] = Masse [t] * PCN [MWh/t]</v>
      </c>
      <c r="B40" s="1139"/>
      <c r="AL40" s="10"/>
      <c r="AN40" s="10"/>
      <c r="AO40" s="10"/>
      <c r="AP40" s="10"/>
    </row>
    <row r="41" spans="1:42" x14ac:dyDescent="0.3">
      <c r="A41" s="1138"/>
      <c r="B41" s="1138"/>
      <c r="AL41" s="10"/>
      <c r="AN41" s="10"/>
      <c r="AO41" s="10"/>
      <c r="AP41" s="10"/>
    </row>
    <row r="42" spans="1:42" x14ac:dyDescent="0.3">
      <c r="A42" s="1138" t="str">
        <f>template_label_energy_consumption_per_hour_in_mwh_for_liquid_fuels</f>
        <v>Consommation d'énergie par heure en MWh pour les combustibles liquides :</v>
      </c>
      <c r="B42" s="1138"/>
      <c r="AL42" s="10"/>
      <c r="AN42" s="10"/>
      <c r="AO42" s="10"/>
      <c r="AP42" s="10"/>
    </row>
    <row r="43" spans="1:42" ht="18" x14ac:dyDescent="0.35">
      <c r="A43" s="1139" t="str">
        <f>template_label_mass_liquid_fuels</f>
        <v>Masse [t] = Volume [L] * Densité [t/L]</v>
      </c>
      <c r="B43" s="1139"/>
      <c r="AL43" s="10"/>
      <c r="AN43" s="10"/>
      <c r="AO43" s="10"/>
      <c r="AP43" s="10"/>
    </row>
    <row r="44" spans="1:42" ht="18" x14ac:dyDescent="0.35">
      <c r="A44" s="1139" t="str">
        <f>template_label_energy_liquid_fuels</f>
        <v>Énergie [MWh] = Masse [t] * [MWh/t]</v>
      </c>
      <c r="B44" s="1139"/>
      <c r="AL44" s="10"/>
      <c r="AN44" s="10"/>
      <c r="AO44" s="10"/>
      <c r="AP44" s="10"/>
    </row>
    <row r="45" spans="1:42" x14ac:dyDescent="0.3">
      <c r="A45" s="1138"/>
      <c r="B45" s="1138"/>
      <c r="AL45" s="10"/>
      <c r="AN45" s="10"/>
      <c r="AO45" s="10"/>
      <c r="AP45" s="10"/>
    </row>
    <row r="46" spans="1:42" x14ac:dyDescent="0.3">
      <c r="A46" s="1138" t="str">
        <f>template_label_energy_consumption_per_hour_in_mwh_for_gaseous_fuels</f>
        <v>Consommation d'énergie par heure en MWh pour les combustibles gazeux :</v>
      </c>
      <c r="B46" s="1138"/>
      <c r="AL46" s="10"/>
      <c r="AN46" s="10"/>
      <c r="AO46" s="10"/>
      <c r="AP46" s="10"/>
    </row>
    <row r="47" spans="1:42" ht="18" x14ac:dyDescent="0.35">
      <c r="A47" s="1139" t="str">
        <f>template_label_mass_gaseous_fuels</f>
        <v>Masse [t] = Volume [m³] * Densité [t/m³]</v>
      </c>
      <c r="B47" s="1139"/>
      <c r="C47" s="340"/>
      <c r="AL47" s="10"/>
      <c r="AN47" s="10"/>
      <c r="AO47" s="10"/>
      <c r="AP47" s="10"/>
    </row>
    <row r="48" spans="1:42" ht="18" x14ac:dyDescent="0.35">
      <c r="A48" s="1139" t="str">
        <f>template_label_energy_gaseous_fuels</f>
        <v>Énergie [MWh] = Masse [t] × PCN [MWh/t]</v>
      </c>
      <c r="B48" s="1139"/>
      <c r="AL48" s="10"/>
      <c r="AN48" s="10"/>
      <c r="AO48" s="10"/>
      <c r="AP48" s="10"/>
    </row>
    <row r="49" s="10" customFormat="1" x14ac:dyDescent="0.3"/>
    <row r="50" s="10" customFormat="1" x14ac:dyDescent="0.3"/>
    <row r="51" s="10" customFormat="1" x14ac:dyDescent="0.3"/>
    <row r="52" s="10" customFormat="1" x14ac:dyDescent="0.3"/>
    <row r="53" s="10" customFormat="1" x14ac:dyDescent="0.3"/>
    <row r="54" s="10" customFormat="1" x14ac:dyDescent="0.3"/>
    <row r="55" s="10" customFormat="1" x14ac:dyDescent="0.3"/>
    <row r="56" s="10" customFormat="1" x14ac:dyDescent="0.3"/>
    <row r="57" s="10" customFormat="1" x14ac:dyDescent="0.3"/>
    <row r="58" s="10" customFormat="1" x14ac:dyDescent="0.3"/>
    <row r="59" s="10" customFormat="1" x14ac:dyDescent="0.3"/>
    <row r="60" s="10" customFormat="1" x14ac:dyDescent="0.3"/>
    <row r="61" s="10" customFormat="1" x14ac:dyDescent="0.3"/>
    <row r="62" s="10" customFormat="1" x14ac:dyDescent="0.3"/>
    <row r="63" s="10" customFormat="1" x14ac:dyDescent="0.3"/>
    <row r="64" s="10" customFormat="1" x14ac:dyDescent="0.3"/>
    <row r="65" s="10" customFormat="1" x14ac:dyDescent="0.3"/>
    <row r="66" s="10" customFormat="1" x14ac:dyDescent="0.3"/>
    <row r="67" s="10" customFormat="1" x14ac:dyDescent="0.3"/>
    <row r="68" s="10" customFormat="1" x14ac:dyDescent="0.3"/>
    <row r="69" s="10" customFormat="1" x14ac:dyDescent="0.3"/>
    <row r="70" s="10" customFormat="1" x14ac:dyDescent="0.3"/>
    <row r="71" s="10" customFormat="1" x14ac:dyDescent="0.3"/>
    <row r="72" s="10" customFormat="1" x14ac:dyDescent="0.3"/>
    <row r="73" s="10" customFormat="1" x14ac:dyDescent="0.3"/>
    <row r="74" s="10" customFormat="1" x14ac:dyDescent="0.3"/>
    <row r="75" s="10" customFormat="1" x14ac:dyDescent="0.3"/>
    <row r="76" s="10" customFormat="1" x14ac:dyDescent="0.3"/>
    <row r="77" s="10" customFormat="1" x14ac:dyDescent="0.3"/>
    <row r="78" s="10" customFormat="1" x14ac:dyDescent="0.3"/>
    <row r="79" s="10" customFormat="1" x14ac:dyDescent="0.3"/>
    <row r="80" s="10" customFormat="1" x14ac:dyDescent="0.3"/>
    <row r="81" s="10" customFormat="1" x14ac:dyDescent="0.3"/>
    <row r="82" s="10" customFormat="1" x14ac:dyDescent="0.3"/>
    <row r="83" s="10" customFormat="1" x14ac:dyDescent="0.3"/>
    <row r="84" s="10" customFormat="1" x14ac:dyDescent="0.3"/>
    <row r="85" s="10" customFormat="1" x14ac:dyDescent="0.3"/>
    <row r="86" s="10" customFormat="1" x14ac:dyDescent="0.3"/>
    <row r="87" s="10" customFormat="1" x14ac:dyDescent="0.3"/>
    <row r="88" s="10" customFormat="1" x14ac:dyDescent="0.3"/>
    <row r="89" s="10" customFormat="1" x14ac:dyDescent="0.3"/>
    <row r="90" s="10" customFormat="1" x14ac:dyDescent="0.3"/>
    <row r="91" s="10" customFormat="1" x14ac:dyDescent="0.3"/>
    <row r="92" s="10" customFormat="1" x14ac:dyDescent="0.3"/>
    <row r="93" s="10" customFormat="1" x14ac:dyDescent="0.3"/>
    <row r="94" s="10" customFormat="1" x14ac:dyDescent="0.3"/>
    <row r="95" s="10" customFormat="1" x14ac:dyDescent="0.3"/>
    <row r="96" s="10" customFormat="1" x14ac:dyDescent="0.3"/>
    <row r="97" s="10" customFormat="1" x14ac:dyDescent="0.3"/>
    <row r="98" s="10" customFormat="1" x14ac:dyDescent="0.3"/>
    <row r="99" s="10" customFormat="1" x14ac:dyDescent="0.3"/>
    <row r="100" s="10" customFormat="1" x14ac:dyDescent="0.3"/>
    <row r="101" s="10" customFormat="1" x14ac:dyDescent="0.3"/>
    <row r="102" s="10" customFormat="1" x14ac:dyDescent="0.3"/>
    <row r="103" s="10" customFormat="1" x14ac:dyDescent="0.3"/>
    <row r="104" s="10" customFormat="1" x14ac:dyDescent="0.3"/>
    <row r="105" s="10" customFormat="1" x14ac:dyDescent="0.3"/>
    <row r="106" s="10" customFormat="1" x14ac:dyDescent="0.3"/>
    <row r="107" s="10" customFormat="1" x14ac:dyDescent="0.3"/>
    <row r="108" s="10" customFormat="1" x14ac:dyDescent="0.3"/>
    <row r="109" s="10" customFormat="1" x14ac:dyDescent="0.3"/>
    <row r="110" s="10" customFormat="1" x14ac:dyDescent="0.3"/>
    <row r="111" s="10" customFormat="1" x14ac:dyDescent="0.3"/>
    <row r="112" s="10" customFormat="1" x14ac:dyDescent="0.3"/>
    <row r="113" s="10" customFormat="1" x14ac:dyDescent="0.3"/>
    <row r="114" s="10" customFormat="1" x14ac:dyDescent="0.3"/>
    <row r="115" s="10" customFormat="1" x14ac:dyDescent="0.3"/>
    <row r="116" s="10" customFormat="1" x14ac:dyDescent="0.3"/>
    <row r="117" s="10" customFormat="1" x14ac:dyDescent="0.3"/>
    <row r="118" s="10" customFormat="1" x14ac:dyDescent="0.3"/>
    <row r="119" s="10" customFormat="1" x14ac:dyDescent="0.3"/>
    <row r="120" s="10" customFormat="1" x14ac:dyDescent="0.3"/>
    <row r="121" s="10" customFormat="1" x14ac:dyDescent="0.3"/>
    <row r="122" s="10" customFormat="1" x14ac:dyDescent="0.3"/>
    <row r="123" s="10" customFormat="1" x14ac:dyDescent="0.3"/>
    <row r="124" s="10" customFormat="1" x14ac:dyDescent="0.3"/>
    <row r="125" s="10" customFormat="1" x14ac:dyDescent="0.3"/>
    <row r="126" s="10" customFormat="1" x14ac:dyDescent="0.3"/>
    <row r="127" s="10" customFormat="1" x14ac:dyDescent="0.3"/>
    <row r="128" s="10" customFormat="1" x14ac:dyDescent="0.3"/>
    <row r="129" s="10" customFormat="1" x14ac:dyDescent="0.3"/>
    <row r="130" s="10" customFormat="1" x14ac:dyDescent="0.3"/>
    <row r="131" s="10" customFormat="1" x14ac:dyDescent="0.3"/>
    <row r="132" s="10" customFormat="1" x14ac:dyDescent="0.3"/>
    <row r="133" s="10" customFormat="1" x14ac:dyDescent="0.3"/>
    <row r="134" s="10" customFormat="1" x14ac:dyDescent="0.3"/>
    <row r="135" s="10" customFormat="1" x14ac:dyDescent="0.3"/>
    <row r="136" s="10" customFormat="1" x14ac:dyDescent="0.3"/>
    <row r="137" s="10" customFormat="1" x14ac:dyDescent="0.3"/>
    <row r="138" s="10" customFormat="1" x14ac:dyDescent="0.3"/>
    <row r="139" s="10" customFormat="1" x14ac:dyDescent="0.3"/>
    <row r="140" s="10" customFormat="1" x14ac:dyDescent="0.3"/>
  </sheetData>
  <sheetProtection algorithmName="SHA-512" hashValue="nDFAIo9s7BSWDUM2NsBXvr/jn0fbieReYh5Q2uFgkKnjb0+36x2DkjN4Oc0u9beYG98cOZy6/waKGkTXGMzZuw==" saltValue="UP/uqJXb8TSw3oAQOw29kA==" spinCount="100000" sheet="1" objects="1" scenarios="1"/>
  <mergeCells count="30">
    <mergeCell ref="A46:B46"/>
    <mergeCell ref="A47:B47"/>
    <mergeCell ref="A48:B48"/>
    <mergeCell ref="A43:B43"/>
    <mergeCell ref="A44:B44"/>
    <mergeCell ref="A45:B45"/>
    <mergeCell ref="A3:K3"/>
    <mergeCell ref="A4:K4"/>
    <mergeCell ref="A37:B37"/>
    <mergeCell ref="A41:B41"/>
    <mergeCell ref="A42:B42"/>
    <mergeCell ref="A5:K5"/>
    <mergeCell ref="A40:B40"/>
    <mergeCell ref="A28:B28"/>
    <mergeCell ref="A29:B29"/>
    <mergeCell ref="A23:C24"/>
    <mergeCell ref="D23:F24"/>
    <mergeCell ref="B6:F6"/>
    <mergeCell ref="B7:F7"/>
    <mergeCell ref="A39:B39"/>
    <mergeCell ref="G10:H10"/>
    <mergeCell ref="G11:H11"/>
    <mergeCell ref="G17:H17"/>
    <mergeCell ref="G18:H18"/>
    <mergeCell ref="G19:H19"/>
    <mergeCell ref="G12:H12"/>
    <mergeCell ref="G13:H13"/>
    <mergeCell ref="G14:H14"/>
    <mergeCell ref="G15:H15"/>
    <mergeCell ref="G16:H16"/>
  </mergeCells>
  <conditionalFormatting sqref="A6">
    <cfRule type="expression" dxfId="86" priority="581">
      <formula>OR($P$11="Solid", $P$11="Gas")</formula>
    </cfRule>
  </conditionalFormatting>
  <conditionalFormatting sqref="D10">
    <cfRule type="expression" dxfId="85" priority="13">
      <formula>$D$10="MISSING VALUE"</formula>
    </cfRule>
  </conditionalFormatting>
  <conditionalFormatting sqref="D11">
    <cfRule type="expression" dxfId="84" priority="14">
      <formula>$D$11="MISSING VALUE"</formula>
    </cfRule>
  </conditionalFormatting>
  <conditionalFormatting sqref="D12">
    <cfRule type="expression" dxfId="83" priority="15">
      <formula>$D$12="MISSING VALUE"</formula>
    </cfRule>
  </conditionalFormatting>
  <conditionalFormatting sqref="D13">
    <cfRule type="expression" dxfId="82" priority="16">
      <formula>$D$13="MISSING VALUE"</formula>
    </cfRule>
  </conditionalFormatting>
  <conditionalFormatting sqref="D14">
    <cfRule type="expression" dxfId="81" priority="17">
      <formula>$D$14="MISSING VALUE"</formula>
    </cfRule>
  </conditionalFormatting>
  <conditionalFormatting sqref="D15">
    <cfRule type="expression" dxfId="80" priority="18">
      <formula>$D$15="MISSING VALUE"</formula>
    </cfRule>
  </conditionalFormatting>
  <conditionalFormatting sqref="D16">
    <cfRule type="expression" dxfId="79" priority="19">
      <formula>$D$16="MISSING VALUE"</formula>
    </cfRule>
  </conditionalFormatting>
  <conditionalFormatting sqref="D17">
    <cfRule type="expression" dxfId="78" priority="20">
      <formula>$D$17="MISSING VALUE"</formula>
    </cfRule>
  </conditionalFormatting>
  <conditionalFormatting sqref="D18">
    <cfRule type="expression" dxfId="77" priority="21">
      <formula>$D$18="MISSING VALUE"</formula>
    </cfRule>
  </conditionalFormatting>
  <conditionalFormatting sqref="D19">
    <cfRule type="expression" dxfId="76" priority="23">
      <formula>$D$19="MISSING VALUE"</formula>
    </cfRule>
  </conditionalFormatting>
  <conditionalFormatting sqref="E10">
    <cfRule type="expression" dxfId="75" priority="5">
      <formula>$E$10="MISSING VALUE"</formula>
    </cfRule>
  </conditionalFormatting>
  <conditionalFormatting sqref="E11">
    <cfRule type="expression" dxfId="74" priority="6">
      <formula>$E$11="MISSING VALUE"</formula>
    </cfRule>
  </conditionalFormatting>
  <conditionalFormatting sqref="E12">
    <cfRule type="expression" dxfId="73" priority="7">
      <formula>$E$12="MISSING VALUE"</formula>
    </cfRule>
  </conditionalFormatting>
  <conditionalFormatting sqref="E13">
    <cfRule type="expression" dxfId="72" priority="8">
      <formula>$E$13="MISSING VALUE"</formula>
    </cfRule>
  </conditionalFormatting>
  <conditionalFormatting sqref="E14">
    <cfRule type="expression" dxfId="71" priority="9">
      <formula>$E$14="MISSING VALUE"</formula>
    </cfRule>
  </conditionalFormatting>
  <conditionalFormatting sqref="E15">
    <cfRule type="expression" dxfId="70" priority="10">
      <formula>$E$15="MISSING VALUE"</formula>
    </cfRule>
  </conditionalFormatting>
  <conditionalFormatting sqref="E16">
    <cfRule type="expression" dxfId="69" priority="11">
      <formula>$E$16="MISSING VALUE"</formula>
    </cfRule>
  </conditionalFormatting>
  <conditionalFormatting sqref="E17">
    <cfRule type="expression" dxfId="68" priority="12">
      <formula>$E$17="MISSING VALUE"</formula>
    </cfRule>
  </conditionalFormatting>
  <conditionalFormatting sqref="E18">
    <cfRule type="expression" dxfId="67" priority="4">
      <formula>$E$18="MISSING VALUE"</formula>
    </cfRule>
  </conditionalFormatting>
  <conditionalFormatting sqref="E19">
    <cfRule type="expression" dxfId="66" priority="22">
      <formula>$E$19="MISSING VALUE"</formula>
    </cfRule>
  </conditionalFormatting>
  <conditionalFormatting sqref="G10:G19">
    <cfRule type="expression" dxfId="65" priority="1">
      <formula>$G10=template_label_ok</formula>
    </cfRule>
    <cfRule type="expression" dxfId="64" priority="25">
      <formula>$G10=template_label_solid_warning</formula>
    </cfRule>
    <cfRule type="expression" dxfId="63" priority="28">
      <formula>$G10=template_label_gaseous_warning</formula>
    </cfRule>
    <cfRule type="expression" dxfId="62" priority="29">
      <formula>$G10=template_label_liquid_warning</formula>
    </cfRule>
  </conditionalFormatting>
  <conditionalFormatting sqref="H9">
    <cfRule type="expression" dxfId="61" priority="2">
      <formula>$H$9=template_label_complete</formula>
    </cfRule>
    <cfRule type="expression" dxfId="60" priority="3">
      <formula>$H$9=template_label_incomplete</formula>
    </cfRule>
  </conditionalFormatting>
  <conditionalFormatting sqref="P11">
    <cfRule type="expression" dxfId="59" priority="48">
      <formula>$P$11="MISSING VALUE"</formula>
    </cfRule>
  </conditionalFormatting>
  <conditionalFormatting sqref="P12">
    <cfRule type="expression" dxfId="58" priority="158">
      <formula>$P$12="MISSING VALUE"</formula>
    </cfRule>
  </conditionalFormatting>
  <conditionalFormatting sqref="Q16 U16 Y16 AC16 AG16 AK16 AO16 AS16 AW16 BA16">
    <cfRule type="expression" dxfId="57" priority="127">
      <formula>Q$16="Solid fuel: please change unit of measurement, select one among Gg, t, Kg and g"</formula>
    </cfRule>
    <cfRule type="expression" dxfId="56" priority="128">
      <formula>Q$16="Solid fuel: please select one unit of measurement among Gg, t, Kg and g"</formula>
    </cfRule>
    <cfRule type="expression" dxfId="55" priority="129">
      <formula>Q$16="Gaseous fuel: please change unit of measurement, select one among m³ and L"</formula>
    </cfRule>
    <cfRule type="expression" dxfId="54" priority="131">
      <formula>Q$16="Gaseous fuel: please select one unit of measurement among m³ and L"</formula>
    </cfRule>
    <cfRule type="expression" dxfId="53" priority="132">
      <formula>Q$16="Liquid fuel: please select one unit of measurement among m³ and L"</formula>
    </cfRule>
    <cfRule type="expression" dxfId="52" priority="130">
      <formula>Q$16="Liquid fuel: please change unit of measurement, select one among m³ and L"</formula>
    </cfRule>
  </conditionalFormatting>
  <conditionalFormatting sqref="T11">
    <cfRule type="expression" dxfId="51" priority="133">
      <formula>$T$11="MISSING VALUE"</formula>
    </cfRule>
  </conditionalFormatting>
  <conditionalFormatting sqref="T12">
    <cfRule type="expression" dxfId="50" priority="152">
      <formula>$T$12="MISSING VALUE"</formula>
    </cfRule>
  </conditionalFormatting>
  <conditionalFormatting sqref="X11">
    <cfRule type="expression" dxfId="49" priority="45">
      <formula>$T$11="MISSING VALUE"</formula>
    </cfRule>
  </conditionalFormatting>
  <conditionalFormatting sqref="X12">
    <cfRule type="expression" dxfId="48" priority="44">
      <formula>$T$12="MISSING VALUE"</formula>
    </cfRule>
  </conditionalFormatting>
  <conditionalFormatting sqref="AB11">
    <cfRule type="expression" dxfId="47" priority="43">
      <formula>$T$11="MISSING VALUE"</formula>
    </cfRule>
  </conditionalFormatting>
  <conditionalFormatting sqref="AB12">
    <cfRule type="expression" dxfId="46" priority="42">
      <formula>$T$12="MISSING VALUE"</formula>
    </cfRule>
  </conditionalFormatting>
  <conditionalFormatting sqref="AF11">
    <cfRule type="expression" dxfId="45" priority="41">
      <formula>$T$11="MISSING VALUE"</formula>
    </cfRule>
  </conditionalFormatting>
  <conditionalFormatting sqref="AF12">
    <cfRule type="expression" dxfId="44" priority="40">
      <formula>$T$12="MISSING VALUE"</formula>
    </cfRule>
  </conditionalFormatting>
  <conditionalFormatting sqref="AJ11">
    <cfRule type="expression" dxfId="43" priority="39">
      <formula>$T$11="MISSING VALUE"</formula>
    </cfRule>
  </conditionalFormatting>
  <conditionalFormatting sqref="AJ12">
    <cfRule type="expression" dxfId="42" priority="38">
      <formula>$T$12="MISSING VALUE"</formula>
    </cfRule>
  </conditionalFormatting>
  <conditionalFormatting sqref="AN11">
    <cfRule type="expression" dxfId="41" priority="37">
      <formula>$T$11="MISSING VALUE"</formula>
    </cfRule>
  </conditionalFormatting>
  <conditionalFormatting sqref="AN12">
    <cfRule type="expression" dxfId="40" priority="36">
      <formula>$T$12="MISSING VALUE"</formula>
    </cfRule>
  </conditionalFormatting>
  <conditionalFormatting sqref="AR11">
    <cfRule type="expression" dxfId="39" priority="35">
      <formula>$T$11="MISSING VALUE"</formula>
    </cfRule>
  </conditionalFormatting>
  <conditionalFormatting sqref="AR12">
    <cfRule type="expression" dxfId="38" priority="34">
      <formula>$T$12="MISSING VALUE"</formula>
    </cfRule>
  </conditionalFormatting>
  <conditionalFormatting sqref="AV11">
    <cfRule type="expression" dxfId="37" priority="33">
      <formula>$T$11="MISSING VALUE"</formula>
    </cfRule>
  </conditionalFormatting>
  <conditionalFormatting sqref="AV12">
    <cfRule type="expression" dxfId="36" priority="32">
      <formula>$T$12="MISSING VALUE"</formula>
    </cfRule>
  </conditionalFormatting>
  <conditionalFormatting sqref="AZ11">
    <cfRule type="expression" dxfId="35" priority="31">
      <formula>$T$11="MISSING VALUE"</formula>
    </cfRule>
  </conditionalFormatting>
  <conditionalFormatting sqref="AZ12">
    <cfRule type="expression" dxfId="34" priority="30">
      <formula>$T$12="MISSING VALUE"</formula>
    </cfRule>
  </conditionalFormatting>
  <dataValidations count="6">
    <dataValidation allowBlank="1" showInputMessage="1" showErrorMessage="1" promptTitle="Missing value (State of matter)" prompt="When the cell displays &quot;MISSING VALUE&quot;, please provide the State of matter for the respective fuel writing &quot;Solid&quot;, &quot;Liquid&quot; or &quot;Gaseous&quot; in the appropriate cell." sqref="P11" xr:uid="{763E0B2F-2A18-4691-AD9A-934253234B4C}"/>
    <dataValidation type="decimal" operator="equal" showInputMessage="1" showErrorMessage="1" prompt="Please insert only numbers" sqref="AB17 AV17 AR17" xr:uid="{2C012787-644F-4DB7-9CE9-2851E7D035C6}">
      <formula1>AB17</formula1>
    </dataValidation>
    <dataValidation type="custom" showInputMessage="1" showErrorMessage="1" sqref="A33" xr:uid="{77D95CA7-2A88-40A0-9A40-C05AFD57E69C}">
      <formula1>IFERROR(IF(OR(#REF!="", #REF!=""), "", #REF!*#REF!), "")</formula1>
    </dataValidation>
    <dataValidation type="decimal" operator="equal" allowBlank="1" showInputMessage="1" showErrorMessage="1" sqref="C10:C19" xr:uid="{E05E5971-DDD7-4F91-B75D-B91FED145BD0}">
      <formula1>C10</formula1>
    </dataValidation>
    <dataValidation type="list" allowBlank="1" showInputMessage="1" showErrorMessage="1" sqref="A10:A19" xr:uid="{E2500B57-E461-4D88-81F5-2BA7ED7A7248}">
      <formula1>enum_ListFuel</formula1>
    </dataValidation>
    <dataValidation type="list" allowBlank="1" showInputMessage="1" showErrorMessage="1" sqref="B10:B19" xr:uid="{A2B4D117-1BAE-4CD7-8DF1-00F8B39C9542}">
      <formula1>enum_ListVolumeMass</formula1>
    </dataValidation>
  </dataValidations>
  <hyperlinks>
    <hyperlink ref="J19" location="template_further_notes" display="7. Further notes below" xr:uid="{5BA248E8-6D4E-4355-8574-344E2763FBC0}"/>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fclProjectId xmlns="1daca54f-5fb0-46da-90de-dff88369e459">2501101243377829</efclProjectId>
    <efclPublishedToWebsite xmlns="1daca54f-5fb0-46da-90de-dff88369e459" xsi:nil="true"/>
    <i09da1fbf7d14ea9973a5584dd477f13 xmlns="1daca54f-5fb0-46da-90de-dff88369e459">
      <Terms xmlns="http://schemas.microsoft.com/office/infopath/2007/PartnerControls"/>
    </i09da1fbf7d14ea9973a5584dd477f13>
    <efclPublishedTo xmlns="1daca54f-5fb0-46da-90de-dff88369e459">
      <Url xsi:nil="true"/>
      <Description xsi:nil="true"/>
    </efclPublishedTo>
    <ge496a40d5c44658bad5a6d98308f1ba xmlns="1daca54f-5fb0-46da-90de-dff88369e459">
      <Terms xmlns="http://schemas.microsoft.com/office/infopath/2007/PartnerControls"/>
    </ge496a40d5c44658bad5a6d98308f1ba>
    <efclDocumentDescription xmlns="1daca54f-5fb0-46da-90de-dff88369e459" xsi:nil="true"/>
    <p59a4e4f2bd147658de67f2316c08396 xmlns="1daca54f-5fb0-46da-90de-dff88369e459">
      <Terms xmlns="http://schemas.microsoft.com/office/infopath/2007/PartnerControls"/>
    </p59a4e4f2bd147658de67f2316c08396>
    <TaxCatchAll xmlns="1daca54f-5fb0-46da-90de-dff88369e459" xsi:nil="true"/>
    <efclPublishedToMeeting xmlns="1daca54f-5fb0-46da-90de-dff88369e459" xsi:nil="true"/>
    <e13db7feed7b463daca4211c55acd0c4 xmlns="1daca54f-5fb0-46da-90de-dff88369e459">
      <Terms xmlns="http://schemas.microsoft.com/office/infopath/2007/PartnerControls"/>
    </e13db7feed7b463daca4211c55acd0c4>
  </documentManagement>
</p:properties>
</file>

<file path=customXml/item2.xml><?xml version="1.0" encoding="utf-8"?>
<ct:contentTypeSchema xmlns:ct="http://schemas.microsoft.com/office/2006/metadata/contentType" xmlns:ma="http://schemas.microsoft.com/office/2006/metadata/properties/metaAttributes" ct:_="" ma:_="" ma:contentTypeName="Project Document" ma:contentTypeID="0x010100424757986E2540868CAE723C1A3093F1010075358054E2A84B419DAF55079D0D5A5D" ma:contentTypeVersion="16" ma:contentTypeDescription="Create a new document." ma:contentTypeScope="" ma:versionID="c3a21bd6018ed078a8087cfbbeb3a34e">
  <xsd:schema xmlns:xsd="http://www.w3.org/2001/XMLSchema" xmlns:xs="http://www.w3.org/2001/XMLSchema" xmlns:p="http://schemas.microsoft.com/office/2006/metadata/properties" xmlns:ns2="1daca54f-5fb0-46da-90de-dff88369e459" xmlns:ns3="03dbcffb-d0ee-4b89-b5e3-7c232fa0562c" targetNamespace="http://schemas.microsoft.com/office/2006/metadata/properties" ma:root="true" ma:fieldsID="c41430db80e38006dd9c33000cbb2a3e" ns2:_="" ns3:_="">
    <xsd:import namespace="1daca54f-5fb0-46da-90de-dff88369e459"/>
    <xsd:import namespace="03dbcffb-d0ee-4b89-b5e3-7c232fa0562c"/>
    <xsd:element name="properties">
      <xsd:complexType>
        <xsd:sequence>
          <xsd:element name="documentManagement">
            <xsd:complexType>
              <xsd:all>
                <xsd:element ref="ns2:ge496a40d5c44658bad5a6d98308f1ba" minOccurs="0"/>
                <xsd:element ref="ns2:TaxCatchAll" minOccurs="0"/>
                <xsd:element ref="ns2:TaxCatchAllLabel" minOccurs="0"/>
                <xsd:element ref="ns2:efclDocumentDescription" minOccurs="0"/>
                <xsd:element ref="ns2:efclProjectId" minOccurs="0"/>
                <xsd:element ref="ns2:p59a4e4f2bd147658de67f2316c08396" minOccurs="0"/>
                <xsd:element ref="ns2:i09da1fbf7d14ea9973a5584dd477f13" minOccurs="0"/>
                <xsd:element ref="ns2:e13db7feed7b463daca4211c55acd0c4" minOccurs="0"/>
                <xsd:element ref="ns2:efclPublishedToMeeting" minOccurs="0"/>
                <xsd:element ref="ns2:efclPublishedToWebsite" minOccurs="0"/>
                <xsd:element ref="ns2:efclPublishedTo"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aca54f-5fb0-46da-90de-dff88369e459" elementFormDefault="qualified">
    <xsd:import namespace="http://schemas.microsoft.com/office/2006/documentManagement/types"/>
    <xsd:import namespace="http://schemas.microsoft.com/office/infopath/2007/PartnerControls"/>
    <xsd:element name="ge496a40d5c44658bad5a6d98308f1ba" ma:index="8" nillable="true" ma:taxonomy="true" ma:internalName="ge496a40d5c44658bad5a6d98308f1ba" ma:taxonomyFieldName="efclDocumentType" ma:displayName="Document Type" ma:fieldId="{0e496a40-d5c4-4658-bad5-a6d98308f1ba}" ma:sspId="b5354ee9-1167-4e6c-842d-e3226f29bc49" ma:termSetId="4a3b34fd-4214-4cbe-a4ca-75cc788de7bf"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48a8a40-94a0-4074-8100-87d75799240b}" ma:internalName="TaxCatchAll" ma:showField="CatchAllData" ma:web="1daca54f-5fb0-46da-90de-dff88369e45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48a8a40-94a0-4074-8100-87d75799240b}" ma:internalName="TaxCatchAllLabel" ma:readOnly="true" ma:showField="CatchAllDataLabel" ma:web="1daca54f-5fb0-46da-90de-dff88369e459">
      <xsd:complexType>
        <xsd:complexContent>
          <xsd:extension base="dms:MultiChoiceLookup">
            <xsd:sequence>
              <xsd:element name="Value" type="dms:Lookup" maxOccurs="unbounded" minOccurs="0" nillable="true"/>
            </xsd:sequence>
          </xsd:extension>
        </xsd:complexContent>
      </xsd:complexType>
    </xsd:element>
    <xsd:element name="efclDocumentDescription" ma:index="12" nillable="true" ma:displayName="Document Description" ma:internalName="efclDocumentDescription">
      <xsd:simpleType>
        <xsd:restriction base="dms:Note">
          <xsd:maxLength value="255"/>
        </xsd:restriction>
      </xsd:simpleType>
    </xsd:element>
    <xsd:element name="efclProjectId" ma:index="13" nillable="true" ma:displayName="Project ID" ma:default="2501101243377829" ma:internalName="efclProjectId">
      <xsd:simpleType>
        <xsd:restriction base="dms:Text"/>
      </xsd:simpleType>
    </xsd:element>
    <xsd:element name="p59a4e4f2bd147658de67f2316c08396" ma:index="14" nillable="true" ma:taxonomy="true" ma:internalName="p59a4e4f2bd147658de67f2316c08396" ma:taxonomyFieldName="efclTopics" ma:displayName="Topics" ma:readOnly="false" ma:fieldId="{959a4e4f-2bd1-4765-8de6-7f2316c08396}" ma:taxonomyMulti="true" ma:sspId="b5354ee9-1167-4e6c-842d-e3226f29bc49" ma:termSetId="319aa627-c73c-4f98-a92f-bfbccc408535" ma:anchorId="00000000-0000-0000-0000-000000000000" ma:open="false" ma:isKeyword="false">
      <xsd:complexType>
        <xsd:sequence>
          <xsd:element ref="pc:Terms" minOccurs="0" maxOccurs="1"/>
        </xsd:sequence>
      </xsd:complexType>
    </xsd:element>
    <xsd:element name="i09da1fbf7d14ea9973a5584dd477f13" ma:index="16" nillable="true" ma:taxonomy="true" ma:internalName="i09da1fbf7d14ea9973a5584dd477f13" ma:taxonomyFieldName="efclStandards" ma:displayName="Standards" ma:readOnly="false" ma:fieldId="{209da1fb-f7d1-4ea9-973a-5584dd477f13}" ma:taxonomyMulti="true" ma:sspId="b5354ee9-1167-4e6c-842d-e3226f29bc49" ma:termSetId="fde5f5a0-e3e9-40ac-9599-ce094e9f11cc" ma:anchorId="00000000-0000-0000-0000-000000000000" ma:open="false" ma:isKeyword="false">
      <xsd:complexType>
        <xsd:sequence>
          <xsd:element ref="pc:Terms" minOccurs="0" maxOccurs="1"/>
        </xsd:sequence>
      </xsd:complexType>
    </xsd:element>
    <xsd:element name="e13db7feed7b463daca4211c55acd0c4" ma:index="18" nillable="true" ma:taxonomy="true" ma:internalName="e13db7feed7b463daca4211c55acd0c4" ma:taxonomyFieldName="efclProjectStage" ma:displayName="Project Stage" ma:default="253;#Research phase|5bf5d1b0-3201-4aff-a408-fb5a935de7e7" ma:fieldId="{e13db7fe-ed7b-463d-aca4-211c55acd0c4}" ma:sspId="b5354ee9-1167-4e6c-842d-e3226f29bc49" ma:termSetId="9b49bf5b-71f9-4ba2-853c-72048cccbf8f" ma:anchorId="00000000-0000-0000-0000-000000000000" ma:open="false" ma:isKeyword="false">
      <xsd:complexType>
        <xsd:sequence>
          <xsd:element ref="pc:Terms" minOccurs="0" maxOccurs="1"/>
        </xsd:sequence>
      </xsd:complexType>
    </xsd:element>
    <xsd:element name="efclPublishedToMeeting" ma:index="20" nillable="true" ma:displayName="Published To meeting?" ma:hidden="true" ma:internalName="efclPublishedToMeeting" ma:readOnly="false">
      <xsd:simpleType>
        <xsd:restriction base="dms:Boolean"/>
      </xsd:simpleType>
    </xsd:element>
    <xsd:element name="efclPublishedToWebsite" ma:index="21" nillable="true" ma:displayName="Published To website?" ma:hidden="true" ma:internalName="efclPublishedToWebsite" ma:readOnly="false">
      <xsd:simpleType>
        <xsd:restriction base="dms:Boolean"/>
      </xsd:simpleType>
    </xsd:element>
    <xsd:element name="efclPublishedTo" ma:index="22" nillable="true" ma:displayName="Published To" ma:internalName="efclPublishedTo">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dbcffb-d0ee-4b89-b5e3-7c232fa0562c"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3942F3-16A5-4815-B8A9-F6DE569DC588}">
  <ds:schemaRefs>
    <ds:schemaRef ds:uri="http://schemas.microsoft.com/office/2006/metadata/properties"/>
    <ds:schemaRef ds:uri="http://schemas.microsoft.com/office/infopath/2007/PartnerControls"/>
    <ds:schemaRef ds:uri="1daca54f-5fb0-46da-90de-dff88369e459"/>
  </ds:schemaRefs>
</ds:datastoreItem>
</file>

<file path=customXml/itemProps2.xml><?xml version="1.0" encoding="utf-8"?>
<ds:datastoreItem xmlns:ds="http://schemas.openxmlformats.org/officeDocument/2006/customXml" ds:itemID="{2C5FD091-3A15-40A1-A72C-66A40E4C7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aca54f-5fb0-46da-90de-dff88369e459"/>
    <ds:schemaRef ds:uri="03dbcffb-d0ee-4b89-b5e3-7c232fa056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AEBA6F-9411-4923-AA77-FC83D4C002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841</vt:i4>
      </vt:variant>
    </vt:vector>
  </HeadingPairs>
  <TitlesOfParts>
    <vt:vector size="857" baseType="lpstr">
      <vt:lpstr>Language Selection</vt:lpstr>
      <vt:lpstr>Introduction</vt:lpstr>
      <vt:lpstr>Table of Contents &amp; Validation</vt:lpstr>
      <vt:lpstr>General Information</vt:lpstr>
      <vt:lpstr>Environmental Disclosures</vt:lpstr>
      <vt:lpstr>Social Disclosures</vt:lpstr>
      <vt:lpstr>Governance Disclosures</vt:lpstr>
      <vt:lpstr>Footnotes</vt:lpstr>
      <vt:lpstr>Fuel Converter</vt:lpstr>
      <vt:lpstr>Fuel Conversion Parameters</vt:lpstr>
      <vt:lpstr>Unit Of Measurement Converter</vt:lpstr>
      <vt:lpstr>Enumeration Lists</vt:lpstr>
      <vt:lpstr>Translations</vt:lpstr>
      <vt:lpstr>Licence</vt:lpstr>
      <vt:lpstr>Technical Sheet</vt:lpstr>
      <vt:lpstr>Footnote (Taxonomy) Labels</vt:lpstr>
      <vt:lpstr>AddressOfSite</vt:lpstr>
      <vt:lpstr>AmountOfEmissionsTable</vt:lpstr>
      <vt:lpstr>AmountOfEmissionToAir</vt:lpstr>
      <vt:lpstr>AmountOfEmissionToAir_unit</vt:lpstr>
      <vt:lpstr>AmountOfEmissionToSoil</vt:lpstr>
      <vt:lpstr>AmountOfEmissionToSoil_unit</vt:lpstr>
      <vt:lpstr>AmountOfEmissionToWater</vt:lpstr>
      <vt:lpstr>AmountOfEmissionToWater_unit</vt:lpstr>
      <vt:lpstr>AmountOfWaterWithdrawnAtSitesLocatedInAreasOfHighWaterStress</vt:lpstr>
      <vt:lpstr>AreaOfSiteInBiodiversitySensitiveArea</vt:lpstr>
      <vt:lpstr>AreaOfSiteInBiodiversitySensitiveArea_unit</vt:lpstr>
      <vt:lpstr>Assets</vt:lpstr>
      <vt:lpstr>AverageNumberOfAnnualTrainingHoursPerFemaleEmployee</vt:lpstr>
      <vt:lpstr>AverageNumberOfAnnualTrainingHoursPerMaleEmployee</vt:lpstr>
      <vt:lpstr>AverageNumberOfAnnualTrainingHoursPerNonReportedGenderEmployee</vt:lpstr>
      <vt:lpstr>AverageNumberOfAnnualTrainingHoursPerOtherGenderEmployee</vt:lpstr>
      <vt:lpstr>BaselineYearMember</vt:lpstr>
      <vt:lpstr>BasisForPreparation</vt:lpstr>
      <vt:lpstr>BasisForReporting</vt:lpstr>
      <vt:lpstr>BreakdownOfAnnualMassFlowOfRelevantMaterialsUsedByTheUndertakingHypercube</vt:lpstr>
      <vt:lpstr>BreakdownOfEnergyConsumptionAxis</vt:lpstr>
      <vt:lpstr>BreakdownOfEnergyConsumptionTable</vt:lpstr>
      <vt:lpstr>CityOfSite</vt:lpstr>
      <vt:lpstr>CountryOfEmploymentContractAxis</vt:lpstr>
      <vt:lpstr>CountryOfPrimaryOperationsAndLocationOfSignificantAssets</vt:lpstr>
      <vt:lpstr>CountryOfSite</vt:lpstr>
      <vt:lpstr>DateOfAdoptionOfTransitionPlanForUndertakingNotHavingAdoptedTransitionPlanYet</vt:lpstr>
      <vt:lpstr>DescriptionOfActionsTakeToAddressTheConfirmedIncidents</vt:lpstr>
      <vt:lpstr>DescriptionOfATargetRelatedToAPolicy</vt:lpstr>
      <vt:lpstr>DescriptionOfATransitionPlanForClimateChangeMitigationIncludingAnExplanationOfHowItIsContributingToReduceGhgEmissions</vt:lpstr>
      <vt:lpstr>DescriptionOfClimateRelatedHazardsAndClimateRelatedTransitionEvents</vt:lpstr>
      <vt:lpstr>DescriptionOfHowCircularEconomyPrinciplesAreApplied</vt:lpstr>
      <vt:lpstr>DescriptionOfKeyElementsOfStrategyThatRelatesToOrAffectsSustainabilityIssues</vt:lpstr>
      <vt:lpstr>DescriptionOfLimitsToTheDistributionOfProfitsConnectedToTheMutualisticNatureOrToTheNatureOfTheActivitiesConsistingInServicesOfGeneralEconomicInterestSGEI</vt:lpstr>
      <vt:lpstr>DescriptionOfMainBusinessRelationships</vt:lpstr>
      <vt:lpstr>DescriptionOfPracticesPoliciesAndOrFutureInitiatives</vt:lpstr>
      <vt:lpstr>DescriptionOfSignificantGroupsOfProductsAndOrServicesOffered</vt:lpstr>
      <vt:lpstr>DescriptionOfSignificantMarketsTheUndertakingOperatesIn</vt:lpstr>
      <vt:lpstr>DescriptionOfSustainabilityRelatedCertificationsOrLabels</vt:lpstr>
      <vt:lpstr>DescriptionOfTheEffectiveParticipationOfWorkersUsersOrOtherInterestedPartiesOrCommunitiesInGovernance</vt:lpstr>
      <vt:lpstr>DisclosureOfAnyOtherEnvironmentalAndOrEntitySpecificEnvironmentalDisclosures</vt:lpstr>
      <vt:lpstr>DisclosureOfAnyOtherGeneralAndOrEntitySpecificInformation</vt:lpstr>
      <vt:lpstr>DisclosureOfAnyOtherGovernanceAndOrEntitySpecificGovernanceDisclosures</vt:lpstr>
      <vt:lpstr>DisclosureOfAnyOtherSocialAndOrEntitySpecificSocialDisclosures</vt:lpstr>
      <vt:lpstr>DisclosureOfHowItHasAssessedTheExposureAndSensitivityOfItsAssetsActivitiesAndValueChainToTheseHazardsAndTransitionEvents</vt:lpstr>
      <vt:lpstr>DisclosureOfListOfMainActionsTheEntitySeeksInOrderToAchieveItsTargets</vt:lpstr>
      <vt:lpstr>DisclosureOfWhetherItHasUndertakenClimateChangeAdaptationActionsForAnyClimateRelatedHazardsAndTransitionEvents</vt:lpstr>
      <vt:lpstr>EmployeeCountingMethodology</vt:lpstr>
      <vt:lpstr>EmployeesReceivePayEqualOrAboveMinimumWageDeterminedByNationalLawOrCollectiveAgreement</vt:lpstr>
      <vt:lpstr>EmployeeTurnoverRate</vt:lpstr>
      <vt:lpstr>EnergyConsumptionFromElectricity_NonRenewableEnergyMember</vt:lpstr>
      <vt:lpstr>EnergyConsumptionFromElectricity_RenewableEnergyMember</vt:lpstr>
      <vt:lpstr>EnergyConsumptionFromElectricity_TotalRenewableAndNonRenewableEnergyMember</vt:lpstr>
      <vt:lpstr>EnergyConsumptionFromFuels_NonRenewableEnergyMember</vt:lpstr>
      <vt:lpstr>EnergyConsumptionFromFuels_RenewableEnergyMember</vt:lpstr>
      <vt:lpstr>EnergyConsumptionFromFuels_TotalRenewableAndNonRenewableEnergyMember</vt:lpstr>
      <vt:lpstr>EnergyConsumptionFromSelfGeneratedElectricity_NonRenewableEnergyMember</vt:lpstr>
      <vt:lpstr>EnergyConsumptionFromSelfGeneratedElectricity_RenewableEnergyMember</vt:lpstr>
      <vt:lpstr>EnergyConsumptionFromSelfGeneratedElectricity_TotalRenewableAndNonRenewableEnergyMember</vt:lpstr>
      <vt:lpstr>enum_B2</vt:lpstr>
      <vt:lpstr>enum_employee_methodology</vt:lpstr>
      <vt:lpstr>enum_ImplementationStatus</vt:lpstr>
      <vt:lpstr>enum_list_mass_volume</vt:lpstr>
      <vt:lpstr>enum_list_options</vt:lpstr>
      <vt:lpstr>enum_list_true_false</vt:lpstr>
      <vt:lpstr>enum_ListBiodiversityArea</vt:lpstr>
      <vt:lpstr>enum_ListCountiesCode</vt:lpstr>
      <vt:lpstr>enum_ListCountriesName</vt:lpstr>
      <vt:lpstr>enum_ListDays</vt:lpstr>
      <vt:lpstr>enum_ListDensity</vt:lpstr>
      <vt:lpstr>enum_ListEnergy</vt:lpstr>
      <vt:lpstr>enum_ListFuel</vt:lpstr>
      <vt:lpstr>enum_ListHectM2</vt:lpstr>
      <vt:lpstr>enum_ListIdentifier</vt:lpstr>
      <vt:lpstr>enum_ListLegalForms</vt:lpstr>
      <vt:lpstr>enum_ListMass</vt:lpstr>
      <vt:lpstr>enum_ListMediumOfRelease</vt:lpstr>
      <vt:lpstr>enum_ListMonth</vt:lpstr>
      <vt:lpstr>enum_ListNACECategories</vt:lpstr>
      <vt:lpstr>enum_ListNACETechnicalName</vt:lpstr>
      <vt:lpstr>enum_ListNCV</vt:lpstr>
      <vt:lpstr>enum_ListOfCurrencies</vt:lpstr>
      <vt:lpstr>enum_ListOfFutureYears</vt:lpstr>
      <vt:lpstr>enum_ListOfPastYears</vt:lpstr>
      <vt:lpstr>enum_ListOmittedDisclosures</vt:lpstr>
      <vt:lpstr>enum_ListOmittedDisclosuresWithNone</vt:lpstr>
      <vt:lpstr>enum_ListPollutants</vt:lpstr>
      <vt:lpstr>enum_ListRenewabilityState</vt:lpstr>
      <vt:lpstr>enum_ListStateOfMatter</vt:lpstr>
      <vt:lpstr>enum_ListSustainabilityIssues</vt:lpstr>
      <vt:lpstr>enum_ListTypeOfWastes</vt:lpstr>
      <vt:lpstr>enum_ListUnitMeasurement</vt:lpstr>
      <vt:lpstr>enum_ListUnitMeasurement_mass_only</vt:lpstr>
      <vt:lpstr>enum_ListVolume</vt:lpstr>
      <vt:lpstr>enum_ListVolumeMass</vt:lpstr>
      <vt:lpstr>enum_ListWasteCategories</vt:lpstr>
      <vt:lpstr>enum_ListYear</vt:lpstr>
      <vt:lpstr>enum_ListYesNo</vt:lpstr>
      <vt:lpstr>FemaleToMaleRatioAtManagementLevelForTheReportingPeriod</vt:lpstr>
      <vt:lpstr>FinancialInvestmentInTheCapitalOrAssetsOfSocialEconomyEntities</vt:lpstr>
      <vt:lpstr>footnote_ref_concept</vt:lpstr>
      <vt:lpstr>footnote_ref_dimension</vt:lpstr>
      <vt:lpstr>footnote_table</vt:lpstr>
      <vt:lpstr>footnote_text</vt:lpstr>
      <vt:lpstr>GenderDiversityRatioInGovernanceBody</vt:lpstr>
      <vt:lpstr>GPSLocationOfSite</vt:lpstr>
      <vt:lpstr>GreenhouseGasEmissionReductionTargetBaseYear</vt:lpstr>
      <vt:lpstr>GreenhouseGasEmissionReductionTargetYear</vt:lpstr>
      <vt:lpstr>GrossLocationBasedScope2GreenhouseGasEmissions</vt:lpstr>
      <vt:lpstr>GrossLocationBasedScope2GreenhouseGasEmissions_BaselineYearMember</vt:lpstr>
      <vt:lpstr>GrossLocationBasedScope2GreenhouseGasEmissions_TargetYearMember</vt:lpstr>
      <vt:lpstr>GrossMarketBasedScope2GreenhouseGasEmissions</vt:lpstr>
      <vt:lpstr>GrossMarketBasedScope2GreenhouseGasEmissions_BaselineYearMember</vt:lpstr>
      <vt:lpstr>GrossMarketBasedScope2GreenhouseGasEmissions_TargetYearMember</vt:lpstr>
      <vt:lpstr>GrossScope1GreenhouseGasEmissions</vt:lpstr>
      <vt:lpstr>GrossScope1GreenhouseGasEmissions_BaselineYearMember</vt:lpstr>
      <vt:lpstr>GrossScope1GreenhouseGasEmissions_TargetYearMember</vt:lpstr>
      <vt:lpstr>GrossScope3GreenhouseGasEmissions_BaselineYearMember</vt:lpstr>
      <vt:lpstr>GrossScope3GreenhouseGasEmissions_CurrentlyStatedMember</vt:lpstr>
      <vt:lpstr>GrossScope3GreenhouseGasEmissions_TargetYearMember</vt:lpstr>
      <vt:lpstr>IdentifierOfMaterialTypedAxis</vt:lpstr>
      <vt:lpstr>IdentifierOfSitesInBiodiversitySensitiveAreasTypedAxis</vt:lpstr>
      <vt:lpstr>IdentifierOfSiteTypedAxis</vt:lpstr>
      <vt:lpstr>IdentifierOfSubsidiaryTypedAxis</vt:lpstr>
      <vt:lpstr>LinkToPreviousReportContainingDisclosuresThatRemainUnchanged</vt:lpstr>
      <vt:lpstr>ListOfDisclosuresForWhichNoChangesAreReportedComparedToThePreviousPeriodReporting</vt:lpstr>
      <vt:lpstr>ListOfOmittedDisclosuresDeemedToBeClassifiedOrSensitiveInformation</vt:lpstr>
      <vt:lpstr>ListOfSitesTable</vt:lpstr>
      <vt:lpstr>ListOfSubsidiaryTable</vt:lpstr>
      <vt:lpstr>MostSeniorLevelAccountableForImplementationOfPolicies</vt:lpstr>
      <vt:lpstr>NaceSectorClassificationCodes</vt:lpstr>
      <vt:lpstr>NameOfMaterialUsed</vt:lpstr>
      <vt:lpstr>NameOfTheSubsidiary</vt:lpstr>
      <vt:lpstr>NumberOfEmployees</vt:lpstr>
      <vt:lpstr>NumberOfEmployeesForCountryOfEmploymentContract</vt:lpstr>
      <vt:lpstr>NumberOfEmployeesForCountryOfEmploymentContractTable</vt:lpstr>
      <vt:lpstr>NumberOfFatalitiesAsAResultOfWorkRelatedInjuriesAndWorkRelatedIllHealth</vt:lpstr>
      <vt:lpstr>NumberOfFemaleEmployees</vt:lpstr>
      <vt:lpstr>NumberOfMaleEmployees</vt:lpstr>
      <vt:lpstr>NumberOfNonReportedGenderEmployees</vt:lpstr>
      <vt:lpstr>NumberOfOtherGenderEmployees</vt:lpstr>
      <vt:lpstr>NumberOfPermanentContractEmployees</vt:lpstr>
      <vt:lpstr>NumberOfRecordableWorkRelatedAccidentsInTheReportingPeriod</vt:lpstr>
      <vt:lpstr>NumberOfTemporaryContractEmployees</vt:lpstr>
      <vt:lpstr>OtherUndertakingsLegalForm</vt:lpstr>
      <vt:lpstr>PercentageGapInPayBetweenFemaleAndMaleEmployees</vt:lpstr>
      <vt:lpstr>PercentageOfEmployeesCoveredByCollectiveBargainingAgreements</vt:lpstr>
      <vt:lpstr>PostalCodeOfSite</vt:lpstr>
      <vt:lpstr>PotentialAdverseEffectsOfClimateRisksThatMayAffectItsFinancialPerformanceOrBusinessOperationsInTheShortMediumOrLongTermIndicatingWhetherItAssessesTheRisksToBeHighMediumOrLow</vt:lpstr>
      <vt:lpstr>PracticePolicyAndOrFutureInitiativeIsPubliclyAvailable</vt:lpstr>
      <vt:lpstr>PubliclyAvailableDisclosure</vt:lpstr>
      <vt:lpstr>RateOfRecordableWorkRelatedAccidentsInTheReportingPeriod</vt:lpstr>
      <vt:lpstr>RegisteredAddressOfTheSubsidiary</vt:lpstr>
      <vt:lpstr>ReportContainsDisclosuresFromThePreviousReportingPeriodThatRemainUnchanged</vt:lpstr>
      <vt:lpstr>RevenueDerivedFromChemicalProduction</vt:lpstr>
      <vt:lpstr>RevenueDerivedFromCoal</vt:lpstr>
      <vt:lpstr>RevenueDerivedFromControversialWeaponsAntiPersonnelMinesClusterMunitionsChemicalWeaponsAndBiologicalWeapons</vt:lpstr>
      <vt:lpstr>RevenueDerivedFromCultivationAndProductionOfTobacco</vt:lpstr>
      <vt:lpstr>RevenueDerivedFromGas</vt:lpstr>
      <vt:lpstr>RevenueDerivedFromOil</vt:lpstr>
      <vt:lpstr>Scope1AndScope2GreenhouseGasEmissionsIntensityValueLocationBased</vt:lpstr>
      <vt:lpstr>Scope1AndScope2GreenhouseGasEmissionsIntensityValueMarketBased</vt:lpstr>
      <vt:lpstr>SiteLocatedInABiodiversitySensitiveArea</vt:lpstr>
      <vt:lpstr>SiteLocatedNearABiodiversitySensitiveArea</vt:lpstr>
      <vt:lpstr>SitesInBiodiversitySensitiveAreasTable</vt:lpstr>
      <vt:lpstr>SpecificationOfAnyConfirmedIncidentInvolvingWorkersInTheValueChainAffectedCommunitiesConsumersAndEndUsers</vt:lpstr>
      <vt:lpstr>SpecificationOfOtherHumanRightsRelatedToTheConfirmedIncident</vt:lpstr>
      <vt:lpstr>SpecificationOfOtherTypesOfContentCoveredByTheCodeOfConductOrHumanRightsPolicy</vt:lpstr>
      <vt:lpstr>SustainabilityIssueAddressedByPracticePolicyAndOrFutureInitiative</vt:lpstr>
      <vt:lpstr>TargetYearMember</vt:lpstr>
      <vt:lpstr>template_b1_basis_for_preparation</vt:lpstr>
      <vt:lpstr>template_b1_disclosure_of_sustainability_related_certifications_or_labels</vt:lpstr>
      <vt:lpstr>template_b1_list_of_sites</vt:lpstr>
      <vt:lpstr>template_b1_list_of_subsidiaries</vt:lpstr>
      <vt:lpstr>template_b1_other_undertakings_general_information</vt:lpstr>
      <vt:lpstr>template_b10_workforce_number_of_training</vt:lpstr>
      <vt:lpstr>template_b10_workforce_remuneration_collective_bargaining_and_training</vt:lpstr>
      <vt:lpstr>template_b11_convictions_and_fines_for_corruption_and_bribery</vt:lpstr>
      <vt:lpstr>template_b2_cooperative_specific_disclosures</vt:lpstr>
      <vt:lpstr>template_b2_practices_policies_and_future_initiatives_for_transitioning_towards_a_more_sustainable_economy</vt:lpstr>
      <vt:lpstr>template_b3_breakdown_of_energy_consumption_in_MWh</vt:lpstr>
      <vt:lpstr>template_b3_estimated_greenhouse_gas_emissions_considering_the_GHG_protocol_version_2004_in_tCO2e</vt:lpstr>
      <vt:lpstr>template_b3_greenhouse_gas_emission_intensity_per_turnover</vt:lpstr>
      <vt:lpstr>template_b3_total_energy_consumption_in_MWh</vt:lpstr>
      <vt:lpstr>template_b4_pollution_of_air_water_and_soil</vt:lpstr>
      <vt:lpstr>template_b5_biodiversity_land_use</vt:lpstr>
      <vt:lpstr>template_b5_sites_in_biodiversity_sensitive_areas</vt:lpstr>
      <vt:lpstr>template_b6_water_consumption</vt:lpstr>
      <vt:lpstr>template_b6_water_withdrawal</vt:lpstr>
      <vt:lpstr>template_b7_annual_mass_flow_of_relevant_materials_used</vt:lpstr>
      <vt:lpstr>template_b7_description_of_circular_economy_principles</vt:lpstr>
      <vt:lpstr>template_b7_waste_generated</vt:lpstr>
      <vt:lpstr>template_b8_workforce_general_characteristics_country_of_employment</vt:lpstr>
      <vt:lpstr>template_b8_workforce_general_characteristics_gender</vt:lpstr>
      <vt:lpstr>template_b8_workforce_general_characteristics_turnover_rate</vt:lpstr>
      <vt:lpstr>template_b8_workforce_general_characteristics_type_of_contract</vt:lpstr>
      <vt:lpstr>template_b9_workforce_health_and_safety</vt:lpstr>
      <vt:lpstr>template_c1_strategy_business_model_and_sustainability</vt:lpstr>
      <vt:lpstr>template_c2_description_of_practices_policies_and_future_initiatives_for_transitioning_towards_a_more_sustainable_economy</vt:lpstr>
      <vt:lpstr>template_c3_disclosure_of_list_of_main_actions_the_entity_seeks_in_order_to_achieve_its_targets</vt:lpstr>
      <vt:lpstr>template_c3_GHG_reduction_targets_in_tC02e</vt:lpstr>
      <vt:lpstr>template_c3_transition_plan_for_undertakings_operating_in_high_climate_impact_sectors</vt:lpstr>
      <vt:lpstr>template_c4_climate_risks</vt:lpstr>
      <vt:lpstr>template_c5_additional_general_workforce_characteristics</vt:lpstr>
      <vt:lpstr>template_c6_additional_own_workforce_information_human_rights_policies_and_processes</vt:lpstr>
      <vt:lpstr>template_c7_severe_negative_human_rights_incidents</vt:lpstr>
      <vt:lpstr>template_c8_exclusion_from_EU_reference_benchmarks</vt:lpstr>
      <vt:lpstr>template_c8_revenues_from_certain_sectors</vt:lpstr>
      <vt:lpstr>template_c9_gender_diversity_ratio_in_the_governance_body</vt:lpstr>
      <vt:lpstr>template_checkbox_b1_certifications_or_labels</vt:lpstr>
      <vt:lpstr>template_checkbox_b1_list_of_sites</vt:lpstr>
      <vt:lpstr>template_checkbox_b1_list_of_subsidiaries</vt:lpstr>
      <vt:lpstr>template_checkbox_b1_other_undertakings_information</vt:lpstr>
      <vt:lpstr>template_checkbox_b10_number_annual_training_hours_per_employee</vt:lpstr>
      <vt:lpstr>template_checkbox_b10_remuneration_and_collective_bargaining</vt:lpstr>
      <vt:lpstr>template_checkbox_b11_convitions_and_fines_for_corruption_and_bribery</vt:lpstr>
      <vt:lpstr>template_checkbox_b2_cooperative_specific_disclosures</vt:lpstr>
      <vt:lpstr>template_checkbox_b2_practices_policies_and_future_initiatives</vt:lpstr>
      <vt:lpstr>template_checkbox_b3_breakdown_of_energy_consumption</vt:lpstr>
      <vt:lpstr>template_checkbox_b3_estimated_ghg_emissions</vt:lpstr>
      <vt:lpstr>template_checkbox_b3_ghg_emission_intensity</vt:lpstr>
      <vt:lpstr>template_checkbox_b3_total_energy_consumption</vt:lpstr>
      <vt:lpstr>template_checkbox_b4_pollution_of_air_water_and_soil</vt:lpstr>
      <vt:lpstr>template_checkbox_b5_biodiversity_land_use</vt:lpstr>
      <vt:lpstr>template_checkbox_b5_sites_in_biodiversity_sensitive_areas</vt:lpstr>
      <vt:lpstr>template_checkbox_b6_water_consumption</vt:lpstr>
      <vt:lpstr>template_checkbox_b6_water_withdrawal</vt:lpstr>
      <vt:lpstr>template_checkbox_b7_annual_mass_flow_of_materials</vt:lpstr>
      <vt:lpstr>template_checkbox_b7_description_of_circular_economy_principles</vt:lpstr>
      <vt:lpstr>template_checkbox_b7_waste_generated</vt:lpstr>
      <vt:lpstr>template_checkbox_b8_country_of_employment</vt:lpstr>
      <vt:lpstr>template_checkbox_b8_gender</vt:lpstr>
      <vt:lpstr>template_checkbox_b8_turnover_rate</vt:lpstr>
      <vt:lpstr>template_checkbox_b8_type_of_contract</vt:lpstr>
      <vt:lpstr>template_checkbox_b9_health_and_safety</vt:lpstr>
      <vt:lpstr>template_checkbox_c1_strategy_business_model_and_sustainability_initiatives</vt:lpstr>
      <vt:lpstr>template_checkbox_c2_description_of_practices_policies_and_future_initiatives</vt:lpstr>
      <vt:lpstr>template_checkbox_c3_ghg_reduction_targets</vt:lpstr>
      <vt:lpstr>template_checkbox_c3_list_of_main_actions_to_achieve_targets</vt:lpstr>
      <vt:lpstr>template_checkbox_c3_transition_plan</vt:lpstr>
      <vt:lpstr>template_checkbox_c4_climate_risks</vt:lpstr>
      <vt:lpstr>template_checkbox_c5_additional_workforce_characteristics</vt:lpstr>
      <vt:lpstr>template_checkbox_c6_additional_own_workforce_information</vt:lpstr>
      <vt:lpstr>template_checkbox_c7_severe_negative_human_rights_incidents</vt:lpstr>
      <vt:lpstr>template_checkbox_c8_exclusion_from_eu_reference_benchmarks</vt:lpstr>
      <vt:lpstr>template_checkbox_c8_revenues_from_certain_activities</vt:lpstr>
      <vt:lpstr>template_checkbox_c9_gender_diversity_ratio</vt:lpstr>
      <vt:lpstr>template_checkbox_entity_specific_environmental_disclosures</vt:lpstr>
      <vt:lpstr>template_checkbox_entity_specific_governance_disclosures</vt:lpstr>
      <vt:lpstr>template_checkbox_entity_specific_social_disclosures</vt:lpstr>
      <vt:lpstr>template_checkbox_introduction</vt:lpstr>
      <vt:lpstr>template_classified_or_sensitive_information</vt:lpstr>
      <vt:lpstr>template_currency</vt:lpstr>
      <vt:lpstr>template_disclaimer_cover_page</vt:lpstr>
      <vt:lpstr>template_disclosure_of_any_other_environmental_and_or_entity_specific_enviromental_disclosures</vt:lpstr>
      <vt:lpstr>template_disclosure_of_any_other_governance_and_or_entity_specific_governance_disclosures</vt:lpstr>
      <vt:lpstr>template_disclosure_of_any_other_social_and_or_entity_specific_social_disclosures</vt:lpstr>
      <vt:lpstr>template_ending_date_display</vt:lpstr>
      <vt:lpstr>template_filling_sensitive_checkboxes</vt:lpstr>
      <vt:lpstr>template_footnote_expansion_button</vt:lpstr>
      <vt:lpstr>template_footnote_labels_taxonomy</vt:lpstr>
      <vt:lpstr>template_footnote_technical_name</vt:lpstr>
      <vt:lpstr>template_FUEL_CONVERTER</vt:lpstr>
      <vt:lpstr>template_further_notes</vt:lpstr>
      <vt:lpstr>template_information_on_previous_reporting_period</vt:lpstr>
      <vt:lpstr>template_information_on_the_report_necessary_for_XBRL</vt:lpstr>
      <vt:lpstr>template_label_0_provide_information_that_is_mandatory_in_order_to_generate_the_vsme_and_xbrl_report</vt:lpstr>
      <vt:lpstr>template_label_1_fill_in_the_disclosures_on_the_four_worksheets</vt:lpstr>
      <vt:lpstr>template_label_1_in_cell_a9_select_the_fuel_used_searching_for_it_or_scrolling_down_the_list_displayed_clicking_the_cell</vt:lpstr>
      <vt:lpstr>template_label_1_in_the_cell_b5_of_the_table_related_to_the_unit_of_measurement_of_mass_converter</vt:lpstr>
      <vt:lpstr>template_label_1_percent_or_more_of_their_revenues_from_exploration_mining_extraction_distribution_or_refining_of_hard_coal_and_lignite</vt:lpstr>
      <vt:lpstr>template_label_1_purchased_goods_and_services</vt:lpstr>
      <vt:lpstr>template_label_10_further_notes_can_be_found_below</vt:lpstr>
      <vt:lpstr>template_label_10_percent_or_more_of_their_revenues_from_the_exploration_extraction_distribution_or_refining_of_oil_fuels</vt:lpstr>
      <vt:lpstr>template_label_10_processing_of_sold_products</vt:lpstr>
      <vt:lpstr>template_label_11_use_of_sold_products</vt:lpstr>
      <vt:lpstr>template_label_12_end_of_life_treatment_of_sold_products</vt:lpstr>
      <vt:lpstr>template_label_13_downstream_leased_assets</vt:lpstr>
      <vt:lpstr>template_label_14_franchises</vt:lpstr>
      <vt:lpstr>template_label_15_investments</vt:lpstr>
      <vt:lpstr>template_label_2_capital_goods</vt:lpstr>
      <vt:lpstr>template_label_2_find_more_information_on_the_actual_disclosure_requirements_in_the_vsme_standard</vt:lpstr>
      <vt:lpstr>template_label_2_in_cell_b9_select_the_unit_of_measurement_used</vt:lpstr>
      <vt:lpstr>template_label_2_then_in_the_cell_b6_the_amount_of_mass_can_be_inserted</vt:lpstr>
      <vt:lpstr>template_label_3_finally_in_the_cell_d5_there_should_be_the_unit_of_measurement_of_interest</vt:lpstr>
      <vt:lpstr>template_label_3_for_open_tables_like_the_list_of_subsidizers_sites_please_expand_the_groups_by_clicking_the_plus</vt:lpstr>
      <vt:lpstr>template_label_3_fuel__and_energy_related_activities</vt:lpstr>
      <vt:lpstr>template_label_3_in_cell_c9_select_the_amount_of_fuel_used</vt:lpstr>
      <vt:lpstr>template_label_4_in_cell_d9_it_is_displayed_the_state_of_matter_for_the_fuel_selected</vt:lpstr>
      <vt:lpstr>template_label_4_the_outcome_of_the_conversion_will_be_displayed_in_the_cell_d6</vt:lpstr>
      <vt:lpstr>template_label_4_upstream_transportation_and_distribution</vt:lpstr>
      <vt:lpstr>template_label_4_validate_the_data_entered_by_checking_the_validation_status</vt:lpstr>
      <vt:lpstr>template_label_5_convert_this_template_to_an_inline_xbrl_report</vt:lpstr>
      <vt:lpstr>template_label_5_in_cell_e9_it_is_displayed_the_typical_renewability_state_for_the_fuel_selected</vt:lpstr>
      <vt:lpstr>template_label_5_waste_generated_in_operations</vt:lpstr>
      <vt:lpstr>template_label_50_percent_or_more_of_their_revenues_from_electricity_generation</vt:lpstr>
      <vt:lpstr>template_label_50_percent_or_more_of_their_revenues_from_the_exploration_extraction_manufacturing_or_distribution_of_gaseous_fuels</vt:lpstr>
      <vt:lpstr>template_label_6_business_travel</vt:lpstr>
      <vt:lpstr>template_label_6_in_cell_f9_is_displayed_the_energy_produced_in_mega_watt_hours_by_the_amount_of_fuel_specified</vt:lpstr>
      <vt:lpstr>template_label_6_the_undertaking_may_also_upload_the_report_to_public_repositories_or_a_webpage</vt:lpstr>
      <vt:lpstr>template_label_7_employee_commuting</vt:lpstr>
      <vt:lpstr>template_label_7_in_cell_a28_is_displayed_the_total_energy_in_mega_watt_hours</vt:lpstr>
      <vt:lpstr>template_label_8_in_cell_a31_is_displayed_the_total_renewable_energy_in_mega_watt_hours</vt:lpstr>
      <vt:lpstr>template_label_8_upstream_leased_assets</vt:lpstr>
      <vt:lpstr>template_label_9_downstream_transportation_and_distribution</vt:lpstr>
      <vt:lpstr>template_label_9_in_cell_b31_is_displayed_the_total_nonrenewable_energy_in_mega_watt_hours</vt:lpstr>
      <vt:lpstr>template_label_accident_prevention</vt:lpstr>
      <vt:lpstr>template_label_additional_disclosures_validation</vt:lpstr>
      <vt:lpstr>template_label_additional_rows_warning</vt:lpstr>
      <vt:lpstr>template_label_additionally_users_are_encouraged_to_determine_the_renewability_status_of_each_fuel_based_on_guarantees_of_origin</vt:lpstr>
      <vt:lpstr>template_label_address</vt:lpstr>
      <vt:lpstr>template_label_affected_communities</vt:lpstr>
      <vt:lpstr>template_label_always_to_be_reported</vt:lpstr>
      <vt:lpstr>template_label_always_to_be_reported_if_applicable</vt:lpstr>
      <vt:lpstr>template_label_amount</vt:lpstr>
      <vt:lpstr>template_label_amount_in</vt:lpstr>
      <vt:lpstr>template_label_amount_of_water_withdrawn_at_sites_located_in_areas_of_high_water_stress</vt:lpstr>
      <vt:lpstr>template_label_area</vt:lpstr>
      <vt:lpstr>template_label_area_hectares_or_m2</vt:lpstr>
      <vt:lpstr>template_label_at</vt:lpstr>
      <vt:lpstr>template_label_automatic_geolocation</vt:lpstr>
      <vt:lpstr>template_label_average_gross_hourly_pay_level_of_female_employees</vt:lpstr>
      <vt:lpstr>template_label_average_gross_hourly_pay_level_of_male_employees</vt:lpstr>
      <vt:lpstr>template_label_average_number_of_annual_training_hours_per_employee</vt:lpstr>
      <vt:lpstr>template_label_b1_basis_for_preparation</vt:lpstr>
      <vt:lpstr>template_label_b1_basis_for_preparation_validation</vt:lpstr>
      <vt:lpstr>template_label_b1_disclosure_of_sustainability_related_certification_or_label</vt:lpstr>
      <vt:lpstr>template_label_b1_list_of_site</vt:lpstr>
      <vt:lpstr>template_label_b1_list_of_subsidiaries</vt:lpstr>
      <vt:lpstr>template_label_b1_other_undertakings_general_information</vt:lpstr>
      <vt:lpstr>template_label_b10_workforce_remuneration_collective_bargaining</vt:lpstr>
      <vt:lpstr>template_label_b10_workforce_remuneration_collective_bargaining_and_training_validation</vt:lpstr>
      <vt:lpstr>template_label_b11_convictions_and_fines_for_corruption_and_bribery</vt:lpstr>
      <vt:lpstr>template_label_b11_convictions_and_fines_for_corruption_and_bribery_validation</vt:lpstr>
      <vt:lpstr>template_label_b2_cooperative_specific_disclosures</vt:lpstr>
      <vt:lpstr>template_label_b2_practices_policies_and_future_initiatives_for_transitioning_towards_a_more_sustainable_economy</vt:lpstr>
      <vt:lpstr>template_label_b2_practices_policies_and_future_initiatives_for_transitioning_towards_a_more_sustainable_economy_validation</vt:lpstr>
      <vt:lpstr>template_label_b3_breakdown_of_energy_consumption</vt:lpstr>
      <vt:lpstr>template_label_b3_energy_and_greenhouse_gas_emissions_validation</vt:lpstr>
      <vt:lpstr>template_label_b3_estimated_greenhouse_gas_emissions</vt:lpstr>
      <vt:lpstr>template_label_b3_greenhouse_gas_emission_intensity_per_turnover</vt:lpstr>
      <vt:lpstr>template_label_b3_total_energy_consumption</vt:lpstr>
      <vt:lpstr>template_label_b4_pollution_of_air_water_and_soil</vt:lpstr>
      <vt:lpstr>template_label_b4_pollution_of_air_water_and_soil_validation</vt:lpstr>
      <vt:lpstr>template_label_b5_biodiversity_land_use</vt:lpstr>
      <vt:lpstr>template_label_b5_biodiversity_validation</vt:lpstr>
      <vt:lpstr>template_label_b5_sites_in_biodiversity_sensitive_areas</vt:lpstr>
      <vt:lpstr>template_label_b6_water_consumption</vt:lpstr>
      <vt:lpstr>template_label_b6_water_validation</vt:lpstr>
      <vt:lpstr>template_label_b6_water_withdrawal</vt:lpstr>
      <vt:lpstr>template_label_b7_annual_mass_flow_of_relevant_materials_used</vt:lpstr>
      <vt:lpstr>template_label_b7_description_of_circular_economy_principles</vt:lpstr>
      <vt:lpstr>template_label_b7_resource_use_circular_economy_and_waste_management_validation</vt:lpstr>
      <vt:lpstr>template_label_b7_waste_generated</vt:lpstr>
      <vt:lpstr>template_label_b8_workforce_general_characteristics_country_of_employment</vt:lpstr>
      <vt:lpstr>template_label_b8_workforce_general_characteristics_gender</vt:lpstr>
      <vt:lpstr>template_label_b8_workforce_general_characteristics_turnover_rate</vt:lpstr>
      <vt:lpstr>template_label_b8_workforce_general_characteristics_type_of_contract</vt:lpstr>
      <vt:lpstr>template_label_b8_workforce_general_characteristics_validation</vt:lpstr>
      <vt:lpstr>template_label_b9_workforce_health_and_safety</vt:lpstr>
      <vt:lpstr>template_label_b9_workforce_health_and_safety_validation</vt:lpstr>
      <vt:lpstr>template_label_base_year</vt:lpstr>
      <vt:lpstr>template_label_basic_module</vt:lpstr>
      <vt:lpstr>template_label_basic_module_validation</vt:lpstr>
      <vt:lpstr>template_label_basis_for_preparation</vt:lpstr>
      <vt:lpstr>template_label_basis_for_reporting</vt:lpstr>
      <vt:lpstr>template_label_below_are_specified_all_the_units_of_measurement_conversions_of_each_table</vt:lpstr>
      <vt:lpstr>template_label_biodiversity_and_ecosystems</vt:lpstr>
      <vt:lpstr>template_label_bold_omitted_information</vt:lpstr>
      <vt:lpstr>template_label_business_conduct</vt:lpstr>
      <vt:lpstr>template_label_buttons_footnotes</vt:lpstr>
      <vt:lpstr>template_label_c1_strategy_business_model_and_sustainability_related_initiatives</vt:lpstr>
      <vt:lpstr>template_label_c1_strategy_business_model_and_sustainability_related_initiatives_validation</vt:lpstr>
      <vt:lpstr>template_label_c2_description_of_practices_policies_and_future_initiatives_for_transitioning_towards_a_more_sustainable_economy</vt:lpstr>
      <vt:lpstr>template_label_c2_description_of_practices_policies_and_future_initiatives_for_transitioning_towards_a_more_sustainable_economy_validation</vt:lpstr>
      <vt:lpstr>template_label_c3_disclosure_of_list_of_main_actions_the_entity_seeks_in_order_to_achieve_its_targets</vt:lpstr>
      <vt:lpstr>template_label_c3_ghg_reduction_targets</vt:lpstr>
      <vt:lpstr>template_label_c3_ghg_reduction_targets_and_climate_transition_validation</vt:lpstr>
      <vt:lpstr>template_label_c3_transition_plan_for_undertakings_operating_in_high_climate_impact_sectors</vt:lpstr>
      <vt:lpstr>template_label_c4_climate_risks</vt:lpstr>
      <vt:lpstr>template_label_c4_climate_risks_validation</vt:lpstr>
      <vt:lpstr>template_label_c5_additional_general_workforce_characteristics_validation</vt:lpstr>
      <vt:lpstr>template_label_c5_additional_workforce_characteristics</vt:lpstr>
      <vt:lpstr>template_label_c6_additional_own_workforce_information_human_rights_policies_and_processes</vt:lpstr>
      <vt:lpstr>template_label_c6_additional_own_workforce_information_human_rights_policies_and_processes_validation</vt:lpstr>
      <vt:lpstr>template_label_c7_severe_negative_human_rights_incidents</vt:lpstr>
      <vt:lpstr>template_label_c7_severe_negative_human_rights_incidents_validation</vt:lpstr>
      <vt:lpstr>template_label_c8_exclusion_from_eu_reference_benchmarks</vt:lpstr>
      <vt:lpstr>template_label_c8_revenues_from_certain_sectors</vt:lpstr>
      <vt:lpstr>template_label_c8_revenues_from_certain_sectors_and_exclusion_from_eu_reference_benchmarks_validation</vt:lpstr>
      <vt:lpstr>template_label_c9_gender_diversity_ratio_in_the_governance_body</vt:lpstr>
      <vt:lpstr>template_label_c9_gender_diversity_ratio_in_the_governance_body_validation</vt:lpstr>
      <vt:lpstr>template_label_calculated_energy_in_mwh</vt:lpstr>
      <vt:lpstr>template_label_cell_background_color_index</vt:lpstr>
      <vt:lpstr>template_label_child_labour</vt:lpstr>
      <vt:lpstr>template_label_circular_economy</vt:lpstr>
      <vt:lpstr>template_label_city</vt:lpstr>
      <vt:lpstr>template_label_classified_or_sensitive_information</vt:lpstr>
      <vt:lpstr>template_label_climate_change</vt:lpstr>
      <vt:lpstr>template_label_complete</vt:lpstr>
      <vt:lpstr>template_label_comprehensive_module</vt:lpstr>
      <vt:lpstr>template_label_comprehensive_module_validation</vt:lpstr>
      <vt:lpstr>template_label_consumers_and_endusers_validation</vt:lpstr>
      <vt:lpstr>template_label_contents_grouping_follows_templates_framework</vt:lpstr>
      <vt:lpstr>template_label_country</vt:lpstr>
      <vt:lpstr>template_label_country_of_employment_contract</vt:lpstr>
      <vt:lpstr>template_label_country_of_primary_operations_and_location_of_significant_asset</vt:lpstr>
      <vt:lpstr>template_label_cubic_meters</vt:lpstr>
      <vt:lpstr>template_label_currency_of_the_monetary_values_in_the_report</vt:lpstr>
      <vt:lpstr>template_label_current_reporting_period</vt:lpstr>
      <vt:lpstr>template_label_date_of_foreseen_adoption_of_transition_plan_for_undertaking_not_having_adopted_transition_plan_yet</vt:lpstr>
      <vt:lpstr>template_label_date_warning</vt:lpstr>
      <vt:lpstr>template_label_day</vt:lpstr>
      <vt:lpstr>template_label_decimal_separator_document_information</vt:lpstr>
      <vt:lpstr>template_label_density_kg_over_l</vt:lpstr>
      <vt:lpstr>template_label_description_of_a_practice_policy_and_or_future_initiative_towards_a_more_sustainable_future</vt:lpstr>
      <vt:lpstr>template_label_description_of_a_transition_plan_for_climate_change_mitigation</vt:lpstr>
      <vt:lpstr>template_label_description_of_actions_taken_to_address_the_confirmed_incidents</vt:lpstr>
      <vt:lpstr>template_label_description_of_climate_related_hazards_and_climate_related_transition_events</vt:lpstr>
      <vt:lpstr>template_label_description_of_how_it_applies_these_principles</vt:lpstr>
      <vt:lpstr>template_label_description_of_main_business_relationships</vt:lpstr>
      <vt:lpstr>template_label_description_of_significant_groups_of_products_and_or_services_offered</vt:lpstr>
      <vt:lpstr>template_label_description_of_significant_market_the_undertaking_operates_in</vt:lpstr>
      <vt:lpstr>template_label_description_of_sustainability_related_certification_or_label</vt:lpstr>
      <vt:lpstr>template_label_description_of_target_related_to_a_policy</vt:lpstr>
      <vt:lpstr>template_label_description_of_those_key_elements_in_the_strategy_that_relate_or_affect_sustainability_issues</vt:lpstr>
      <vt:lpstr>template_label_disclaimer</vt:lpstr>
      <vt:lpstr>template_label_disclosure_of_any_other_environmental_and_or_entity_specific_environmental_disclosures</vt:lpstr>
      <vt:lpstr>template_label_disclosure_of_any_other_general_and_or_entity_specific_information_on_the_reporting_period</vt:lpstr>
      <vt:lpstr>template_label_disclosure_of_any_other_governance_and_or_entity_specific_governance_disclosures</vt:lpstr>
      <vt:lpstr>template_label_disclosure_of_any_other_social_and_or_entity_specific_social_disclosures</vt:lpstr>
      <vt:lpstr>template_label_disclosure_of_how_it_has_assessed_the_exposure_and_sensitivity_of_its_assets</vt:lpstr>
      <vt:lpstr>template_label_disclosure_of_whether_it_has_undertaken_climate_change_adaptation_actions</vt:lpstr>
      <vt:lpstr>template_label_disclosure_selection</vt:lpstr>
      <vt:lpstr>template_label_disclosures_for_which_no_changes_are_reported_compared_to_the_previous_period_reporting</vt:lpstr>
      <vt:lpstr>template_label_disclosures_from_the_previous_reporting_period_that_remain_unchanged</vt:lpstr>
      <vt:lpstr>template_label_disclosures_related_to_reporting_period</vt:lpstr>
      <vt:lpstr>template_label_discrimination</vt:lpstr>
      <vt:lpstr>template_label_does_the_undertaking_have_a_code_of_conduct_or_human_rights_policy_for_its_own_workforce</vt:lpstr>
      <vt:lpstr>template_label_does_the_undertaking_have_a_complaint_handling_mechanism_for_its_own_workforce</vt:lpstr>
      <vt:lpstr>template_label_does_the_undertaking_have_a_governance_body_in_place</vt:lpstr>
      <vt:lpstr>template_label_does_the_undertaking_have_confirmed_incidents_in_its_own_workforce</vt:lpstr>
      <vt:lpstr>template_label_does_the_undertaking_have_production_processes_in_place_which_significantly_consume_water</vt:lpstr>
      <vt:lpstr>template_label_does_the_undertaking_have_sites_that_are_located_in_or_near_biodiversity_sensitive_areas</vt:lpstr>
      <vt:lpstr>template_label_does_the_undertaking_operate_in_a_sector_using_significant_material_flows</vt:lpstr>
      <vt:lpstr>template_label_effective_participation_of_workers_users_or_other_interested_parties_or_communities_in_governance</vt:lpstr>
      <vt:lpstr>template_label_efrag_is_funded_by_the_european_union_through_the_single_market_programme</vt:lpstr>
      <vt:lpstr>template_label_electricity</vt:lpstr>
      <vt:lpstr>template_label_emission_to_air</vt:lpstr>
      <vt:lpstr>template_label_emission_to_soil</vt:lpstr>
      <vt:lpstr>template_label_emission_to_water</vt:lpstr>
      <vt:lpstr>template_label_employee_counting_methodology_end_of_reporting_period_or_average_during_the_reporting_period</vt:lpstr>
      <vt:lpstr>template_label_employee_counting_methodology_for_the_disclosures_below_headcount_full_time_equivalent</vt:lpstr>
      <vt:lpstr>template_label_employee_counting_methodology_for_the_disclosures_below_period</vt:lpstr>
      <vt:lpstr>template_label_employee_counting_methodology_headcount_or_fulltime_equivalent</vt:lpstr>
      <vt:lpstr>template_label_employee_turnover_rate_in_the_reporting_period</vt:lpstr>
      <vt:lpstr>template_label_employees_receive_pay_that_is_equal_or_above_applicable_minimum_wage</vt:lpstr>
      <vt:lpstr>template_label_ending_day</vt:lpstr>
      <vt:lpstr>template_label_ending_month</vt:lpstr>
      <vt:lpstr>template_label_ending_year</vt:lpstr>
      <vt:lpstr>template_label_energy_consumption_per_hour_in_mwh_for_gaseous_fuels</vt:lpstr>
      <vt:lpstr>template_label_energy_consumption_per_hour_in_mwh_for_liquid_fuels</vt:lpstr>
      <vt:lpstr>template_label_energy_consumption_per_hour_in_mwh_for_solid_fuels</vt:lpstr>
      <vt:lpstr>template_label_energy_consumption_warning</vt:lpstr>
      <vt:lpstr>template_label_energy_gaseous_fuels</vt:lpstr>
      <vt:lpstr>template_label_energy_liquid_fuels</vt:lpstr>
      <vt:lpstr>template_label_energy_solid_fuels</vt:lpstr>
      <vt:lpstr>template_label_entity_identifier_document_information</vt:lpstr>
      <vt:lpstr>template_label_entity_identifier_scheme_document_information</vt:lpstr>
      <vt:lpstr>template_label_entity_name_document_information</vt:lpstr>
      <vt:lpstr>template_label_environmental_disclosures_validation</vt:lpstr>
      <vt:lpstr>template_label_error</vt:lpstr>
      <vt:lpstr>template_label_error_plus_missing_value</vt:lpstr>
      <vt:lpstr>template_label_error_plus_missing_value_plus_value_inconsistency</vt:lpstr>
      <vt:lpstr>template_label_error_plus_value_inconsistency</vt:lpstr>
      <vt:lpstr>template_label_female</vt:lpstr>
      <vt:lpstr>template_label_female_to_male_ratio_at_management_level_for_the_reporting_period</vt:lpstr>
      <vt:lpstr>template_label_financial_investment_in_the_capital_or_assets_of_social_economy_entities</vt:lpstr>
      <vt:lpstr>template_label_footnote_id</vt:lpstr>
      <vt:lpstr>template_label_footnote_instructions</vt:lpstr>
      <vt:lpstr>template_label_footnote_text</vt:lpstr>
      <vt:lpstr>template_label_forced_labour</vt:lpstr>
      <vt:lpstr>template_label_from</vt:lpstr>
      <vt:lpstr>template_label_from_capital_case</vt:lpstr>
      <vt:lpstr>template_label_fuel_converter</vt:lpstr>
      <vt:lpstr>template_label_fuel_type</vt:lpstr>
      <vt:lpstr>template_label_fuels</vt:lpstr>
      <vt:lpstr>template_label_further_notes</vt:lpstr>
      <vt:lpstr>template_label_gaseous_warning</vt:lpstr>
      <vt:lpstr>template_label_gender</vt:lpstr>
      <vt:lpstr>template_label_gender_diversity_ratio_in_governance_body</vt:lpstr>
      <vt:lpstr>template_label_general_information_validation</vt:lpstr>
      <vt:lpstr>template_label_general_principles</vt:lpstr>
      <vt:lpstr>template_label_geolocalisation_warning</vt:lpstr>
      <vt:lpstr>template_label_GHG_calculator</vt:lpstr>
      <vt:lpstr>template_label_governance_disclosures_validation</vt:lpstr>
      <vt:lpstr>template_label_gps_coordinates</vt:lpstr>
      <vt:lpstr>template_label_gross_scope_1_ghg_emissions</vt:lpstr>
      <vt:lpstr>template_label_gross_scope_2_location_based_ghg_emissions</vt:lpstr>
      <vt:lpstr>template_label_gross_scope_2_market_based_ghg_emissions</vt:lpstr>
      <vt:lpstr>template_label_has_the_strategy_key_elements_that_relate_to_or_affect_sustainability_issues</vt:lpstr>
      <vt:lpstr>template_label_has_the_undertaking_has_established_ghg_emission_reduction_targets</vt:lpstr>
      <vt:lpstr>template_label_has_the_undertaking_identified_climate_related_hazards_and_climate_related_transition_events</vt:lpstr>
      <vt:lpstr>template_label_has_the_undertaking_incurred_in_convictions_and_fines_in_the_reporting_period</vt:lpstr>
      <vt:lpstr>template_label_has_the_undertaking_obtained_any_sustainability_related_certification_or_label</vt:lpstr>
      <vt:lpstr>template_label_has_the_undertaking_obtained_the_necessary_information_to_provide_an_energy_consumption_breakdown</vt:lpstr>
      <vt:lpstr>template_label_has_the_undertaking_put_in_place_specific_practices_policies_and_or_future</vt:lpstr>
      <vt:lpstr>template_label_health_and_safety_formula_warning</vt:lpstr>
      <vt:lpstr>template_label_how_to_use_it</vt:lpstr>
      <vt:lpstr>template_label_human_trafficking</vt:lpstr>
      <vt:lpstr>template_label_id</vt:lpstr>
      <vt:lpstr>template_label_identifier_of_the_reporting_entity</vt:lpstr>
      <vt:lpstr>template_label_identifier_warning</vt:lpstr>
      <vt:lpstr>template_label_if_applicable</vt:lpstr>
      <vt:lpstr>template_label_if_applicable_linked_to_b2</vt:lpstr>
      <vt:lpstr>template_label_if_yes_are_incidents_related_to</vt:lpstr>
      <vt:lpstr>template_label_if_yes_does_this_cover</vt:lpstr>
      <vt:lpstr>template_label_incomplete</vt:lpstr>
      <vt:lpstr>template_label_indicates_that_data_entry_is_ok_and_the_undertaking_can_proceed_to_the_next_disclosure</vt:lpstr>
      <vt:lpstr>template_label_indicates_that_either_data_entry_is_incorrect_in_terms_of_format_or_that_certain_information</vt:lpstr>
      <vt:lpstr>template_label_indicates_that_no_data_entry_is_required_unless_certain_logics_are_selected_in_the_disclosure_itself</vt:lpstr>
      <vt:lpstr>template_label_indicates_that_the_cell_is_automatically_calculated_and_that_no_data_entry_is_required</vt:lpstr>
      <vt:lpstr>template_label_indicates_that_the_cell_should_be_filled_either_by_selecting_a_value_from_the_dropdown</vt:lpstr>
      <vt:lpstr>template_label_indicates_that_the_datapoint_often_a_condition_will_not_be_included_in_the_vsme_and_digital_xbrl_report</vt:lpstr>
      <vt:lpstr>template_label_indicates_that_the_disclosure_is_from_the_general_principles_of_the_vsme</vt:lpstr>
      <vt:lpstr>template_label_indicates_that_the_disclosure_is_from_the_vsme_basic_module</vt:lpstr>
      <vt:lpstr>template_label_indicates_that_the_disclosure_is_from_the_vsme_comprehensive_module</vt:lpstr>
      <vt:lpstr>template_label_indicates_that_the_undertaking_has_omitted_the_data_entry_as_it_is_deemed_to_be_classified_or_sensitive_information</vt:lpstr>
      <vt:lpstr>template_label_information_on_previous_reporting_period</vt:lpstr>
      <vt:lpstr>template_label_information_on_previous_reporting_period_validation</vt:lpstr>
      <vt:lpstr>template_label_information_on_sensitive_information_before_converting</vt:lpstr>
      <vt:lpstr>template_label_information_on_the_report_necessary_for_xbrl</vt:lpstr>
      <vt:lpstr>template_label_information_on_the_report_necessary_for_xbrl_validation</vt:lpstr>
      <vt:lpstr>template_label_introduction</vt:lpstr>
      <vt:lpstr>template_label_invalid_url</vt:lpstr>
      <vt:lpstr>template_label_is_the_undertaking_aware_of_any_confirmed_incidents_involving_workers</vt:lpstr>
      <vt:lpstr>template_label_is_the_undertaking_deriving_revenues_from_one_of_the_activities_listed_below</vt:lpstr>
      <vt:lpstr>template_label_is_the_undertaking_disclosing_entity_specific_information_on_scope_3_emissions</vt:lpstr>
      <vt:lpstr>template_label_is_the_undertaking_operating_in_high_impact_sectors</vt:lpstr>
      <vt:lpstr>template_label_is_this_disclosure_already_publicly_available</vt:lpstr>
      <vt:lpstr>template_label_kilograms</vt:lpstr>
      <vt:lpstr>template_label_land_use_type</vt:lpstr>
      <vt:lpstr>template_label_limits_to_the_distribution_of_profits</vt:lpstr>
      <vt:lpstr>template_label_link_to_previous_report_containing_disclosures_that_remain_unchanged</vt:lpstr>
      <vt:lpstr>template_label_liquid_warning</vt:lpstr>
      <vt:lpstr>template_label_list_of_omitted_disclosures_deemed_to_be_classified_or_sensitive_information</vt:lpstr>
      <vt:lpstr>template_label_lists_can_be_expanded_using_the_plus_button_on_the_left</vt:lpstr>
      <vt:lpstr>template_label_main_title_of_report_text</vt:lpstr>
      <vt:lpstr>template_label_male</vt:lpstr>
      <vt:lpstr>template_label_mass</vt:lpstr>
      <vt:lpstr>template_label_mass_gaseous_fuels</vt:lpstr>
      <vt:lpstr>template_label_mass_liquid_fuels</vt:lpstr>
      <vt:lpstr>template_label_mass_to_volume</vt:lpstr>
      <vt:lpstr>template_label_mass_to_volume_instruction</vt:lpstr>
      <vt:lpstr>template_label_mass_volume</vt:lpstr>
      <vt:lpstr>template_label_may</vt:lpstr>
      <vt:lpstr>template_label_may_not_headline</vt:lpstr>
      <vt:lpstr>template_label_missing_value</vt:lpstr>
      <vt:lpstr>template_label_missing_value_plus_value_inconsistency</vt:lpstr>
      <vt:lpstr>template_label_monetary_amount_in</vt:lpstr>
      <vt:lpstr>template_label_month</vt:lpstr>
      <vt:lpstr>template_label_most_senior_level_accountable_for_implementing_practices_policies_and_or_future_initiatives</vt:lpstr>
      <vt:lpstr>template_label_nace_sector_classification_code</vt:lpstr>
      <vt:lpstr>template_label_NACE_warning</vt:lpstr>
      <vt:lpstr>template_label_name</vt:lpstr>
      <vt:lpstr>template_label_name_of_the_key_material</vt:lpstr>
      <vt:lpstr>template_label_name_of_the_reporting_entity</vt:lpstr>
      <vt:lpstr>template_label_no_value_can_be_entered_in_the_cell</vt:lpstr>
      <vt:lpstr>template_label_non_renewable</vt:lpstr>
      <vt:lpstr>template_label_none</vt:lpstr>
      <vt:lpstr>template_label_none_of_the_above</vt:lpstr>
      <vt:lpstr>template_label_not_reported</vt:lpstr>
      <vt:lpstr>template_label_number_of_annual_training_hours_per_employee_during_the_reporting_period</vt:lpstr>
      <vt:lpstr>template_label_number_of_employees</vt:lpstr>
      <vt:lpstr>template_label_number_of_employees_at_the_beginning_of_the_reporting_period</vt:lpstr>
      <vt:lpstr>template_label_number_of_employees_at_the_end_of_the_reporting_period</vt:lpstr>
      <vt:lpstr>template_label_number_of_employees_covered_by_collective_bargaining_agreements</vt:lpstr>
      <vt:lpstr>template_label_number_of_employees_warning</vt:lpstr>
      <vt:lpstr>template_label_number_of_employees_who_left_during_the_reporting_period</vt:lpstr>
      <vt:lpstr>template_label_number_of_fatalities_as_a_result_of_work_related_injuries_and_work_related_ill_health</vt:lpstr>
      <vt:lpstr>template_label_number_of_female_board_members_at_the_end_of_the_reporting_period</vt:lpstr>
      <vt:lpstr>template_label_number_of_female_employees_at_management_level</vt:lpstr>
      <vt:lpstr>template_label_number_of_hours_worked_by_one_fulltime_employee_in_the_reporting_period</vt:lpstr>
      <vt:lpstr>template_label_number_of_male_board_members_at_the_end_of_the_reporting_period</vt:lpstr>
      <vt:lpstr>template_label_number_of_male_employees_at_management_level</vt:lpstr>
      <vt:lpstr>template_label_number_of_recordable_work_related_accidents_in_the_reporting_period</vt:lpstr>
      <vt:lpstr>template_label_ok</vt:lpstr>
      <vt:lpstr>template_label_other</vt:lpstr>
      <vt:lpstr>template_label_other_if_yes_specify</vt:lpstr>
      <vt:lpstr>template_label_other_undertakings_legal_form_specification</vt:lpstr>
      <vt:lpstr>template_label_other_warning</vt:lpstr>
      <vt:lpstr>template_label_overall_validation_status_validation</vt:lpstr>
      <vt:lpstr>template_label_own_workforce</vt:lpstr>
      <vt:lpstr>template_label_paragraph_guidance_reference</vt:lpstr>
      <vt:lpstr>template_label_paragraph_reference</vt:lpstr>
      <vt:lpstr>template_label_percentage_gap_in_pay_between_the__undertakings_female_and_male_employees</vt:lpstr>
      <vt:lpstr>template_label_percentage_of_employees_covered_by_collective_bargaining_agreements</vt:lpstr>
      <vt:lpstr>template_label_percentage_reduction_from_base_year</vt:lpstr>
      <vt:lpstr>template_label_permanent_contract</vt:lpstr>
      <vt:lpstr>template_label_please_note_that_the_typical_values_for_net_calorific_value_and_density_are_provided_for_each_fuel_type</vt:lpstr>
      <vt:lpstr>template_label_please_provide_the_relevant_url_link_or_hyperlink_of_where_this_information_is_reported</vt:lpstr>
      <vt:lpstr>template_label_please_select_the_unit_used_for_reporting_the_amount</vt:lpstr>
      <vt:lpstr>template_label_please_select_the_unit_used_for_the_area</vt:lpstr>
      <vt:lpstr>template_label_pollutant</vt:lpstr>
      <vt:lpstr>template_label_pollution</vt:lpstr>
      <vt:lpstr>template_label_postal_code</vt:lpstr>
      <vt:lpstr>template_label_potential_adverse_effects_of_climate_risks</vt:lpstr>
      <vt:lpstr>template_label_publication_date</vt:lpstr>
      <vt:lpstr>template_label_rate_of_recordable_work_related_accidents_in_the_reporting_period</vt:lpstr>
      <vt:lpstr>template_label_registered_address</vt:lpstr>
      <vt:lpstr>template_label_related_site_id</vt:lpstr>
      <vt:lpstr>template_label_renewable</vt:lpstr>
      <vt:lpstr>template_label_report_currency_document_information</vt:lpstr>
      <vt:lpstr>template_label_report_generated</vt:lpstr>
      <vt:lpstr>template_label_report_period_document_information</vt:lpstr>
      <vt:lpstr>template_label_reporting_period</vt:lpstr>
      <vt:lpstr>template_label_reporting_period_end_date</vt:lpstr>
      <vt:lpstr>template_label_reporting_period_start_date</vt:lpstr>
      <vt:lpstr>template_label_reproduction_and_use_rights_are_strictly_limited</vt:lpstr>
      <vt:lpstr>template_label_required_by_law_or_other_national_regulations_to_report_to_competent_authorities_its_emissions_of_pollutants</vt:lpstr>
      <vt:lpstr>template_label_revenue_derived_from_chemicals_production</vt:lpstr>
      <vt:lpstr>template_label_revenue_derived_from_coal</vt:lpstr>
      <vt:lpstr>template_label_revenue_derived_from_controversial_weapons</vt:lpstr>
      <vt:lpstr>template_label_revenue_derived_from_cultivation_and_production_of_tobacco</vt:lpstr>
      <vt:lpstr>template_label_revenue_derived_from_gas</vt:lpstr>
      <vt:lpstr>template_label_revenue_derived_from_oil</vt:lpstr>
      <vt:lpstr>template_label_row_id</vt:lpstr>
      <vt:lpstr>template_label_scope_1_and_scope_2_ghg_emissions_intensity_location_based</vt:lpstr>
      <vt:lpstr>template_label_scope_1_and_scope_2_ghg_emissions_intensity_market_based</vt:lpstr>
      <vt:lpstr>template_label_scope_3_categories_warning</vt:lpstr>
      <vt:lpstr>template_label_select_template_display_language</vt:lpstr>
      <vt:lpstr>template_label_selfgenerated_electricity</vt:lpstr>
      <vt:lpstr>template_label_site_ID_value_inconsistency_warning</vt:lpstr>
      <vt:lpstr>template_label_site_located_in_a_biodiversity_sensitive_area</vt:lpstr>
      <vt:lpstr>template_label_site_located_near_a_biodiversity_sensitive_area</vt:lpstr>
      <vt:lpstr>template_label_site_location_in_near_a_biodiversity_area</vt:lpstr>
      <vt:lpstr>template_label_size_of_balance_sheet_in</vt:lpstr>
      <vt:lpstr>template_label_social_disclosures_validation</vt:lpstr>
      <vt:lpstr>template_label_solid_warning</vt:lpstr>
      <vt:lpstr>template_label_specific_content_validation_status_validation</vt:lpstr>
      <vt:lpstr>template_label_specification_of_any_confirmed_incident_involving_workers</vt:lpstr>
      <vt:lpstr>template_label_specify_other_human_rights_related_to_the_confirmed_incidents</vt:lpstr>
      <vt:lpstr>template_label_specify_other_types_of_content_covered_by_the_code_of_conduct_or_human_rights_policy</vt:lpstr>
      <vt:lpstr>template_label_starting_day</vt:lpstr>
      <vt:lpstr>template_label_starting_month</vt:lpstr>
      <vt:lpstr>template_label_starting_year</vt:lpstr>
      <vt:lpstr>template_label_state_of_matter</vt:lpstr>
      <vt:lpstr>template_label_status_of_implementation_of_a_transition_plan_in_relation_to_climate_change_mitigation</vt:lpstr>
      <vt:lpstr>template_label_steps_to_follow_for_the_mass_table</vt:lpstr>
      <vt:lpstr>template_label_subtitle_of_report</vt:lpstr>
      <vt:lpstr>template_label_subtitle_of_report_text</vt:lpstr>
      <vt:lpstr>template_label_supporting_guidance_c2</vt:lpstr>
      <vt:lpstr>template_label_supporting_guidance_c3</vt:lpstr>
      <vt:lpstr>template_label_supporting_guidance_c7</vt:lpstr>
      <vt:lpstr>template_label_sustainability_issues_addressed_by_a_practice_policy_and_or_future_initiatives_put_in_place</vt:lpstr>
      <vt:lpstr>template_label_table_of_contents</vt:lpstr>
      <vt:lpstr>template_label_table_of_contents_validation</vt:lpstr>
      <vt:lpstr>template_label_target_year</vt:lpstr>
      <vt:lpstr>template_label_taxonomy_entry_point</vt:lpstr>
      <vt:lpstr>template_label_temporary_contract</vt:lpstr>
      <vt:lpstr>template_label_the_converter_offers_the_possibility_of_calculating_simultaneously_up_to_10_different_types_of_fuel</vt:lpstr>
      <vt:lpstr>template_label_the_purpose_of_this_digital_template_is_to_illustrate_how_vsme_reporting_can_be_implemented_in_a_digital_template</vt:lpstr>
      <vt:lpstr>template_label_the_steps_to_follow_for_the_other_tables</vt:lpstr>
      <vt:lpstr>template_label_this_converter_is_intended_solely_to_illustrate_how_energy_consumption_in_mwh</vt:lpstr>
      <vt:lpstr>template_label_time_horizons_of_any_climate_related_hazards_and_transition_events_identified</vt:lpstr>
      <vt:lpstr>template_label_title_of_report</vt:lpstr>
      <vt:lpstr>template_label_to</vt:lpstr>
      <vt:lpstr>template_label_total_amount_of_fines_for_the_violation_of_anti_corruption_and_anti_bribery_laws</vt:lpstr>
      <vt:lpstr>template_label_total_amount_of_waste_generated</vt:lpstr>
      <vt:lpstr>template_label_total_amount_of_water_withdrawn_from_all_sites</vt:lpstr>
      <vt:lpstr>template_label_total_annual_mass_flow_of_relevant_materials_used_mass</vt:lpstr>
      <vt:lpstr>template_label_total_annual_mass_flow_of_relevant_materials_used_volume</vt:lpstr>
      <vt:lpstr>template_label_total_employees</vt:lpstr>
      <vt:lpstr>template_label_total_energy</vt:lpstr>
      <vt:lpstr>template_label_total_energy_consumption</vt:lpstr>
      <vt:lpstr>template_label_total_hazardous_waste_generated_mass</vt:lpstr>
      <vt:lpstr>template_label_total_hazardous_waste_generated_volume</vt:lpstr>
      <vt:lpstr>template_label_total_nature_oriented_area_off_site</vt:lpstr>
      <vt:lpstr>template_label_total_nature_oriented_area_on_site</vt:lpstr>
      <vt:lpstr>template_label_total_non_hazardous_waste_generated_mass</vt:lpstr>
      <vt:lpstr>template_label_total_non_hazardous_waste_generated_volume</vt:lpstr>
      <vt:lpstr>template_label_total_nonrenewable_energy</vt:lpstr>
      <vt:lpstr>template_label_total_number_of_convictions_for_the_violation_of_anti_corruption_and_anti_bribery_laws</vt:lpstr>
      <vt:lpstr>template_label_total_number_of_hours_worked_in_a_year_by_all_employees_in_the_reporting_period</vt:lpstr>
      <vt:lpstr>template_label_total_renewable_and_nonrenewable</vt:lpstr>
      <vt:lpstr>template_label_total_renewable_energy</vt:lpstr>
      <vt:lpstr>template_label_total_revenues_derived_from_fossil_fuel_sector</vt:lpstr>
      <vt:lpstr>template_label_total_scope_1_and_scope_2_ghg_emissions_location_based</vt:lpstr>
      <vt:lpstr>template_label_total_scope_1_and_scope_2_ghg_emissions_market_based</vt:lpstr>
      <vt:lpstr>template_label_total_scope_1_scope_2_and_scope_3_ghg_emissions_intensity_location_based</vt:lpstr>
      <vt:lpstr>template_label_total_scope_1_scope_2_and_scope_3_ghg_emissions_intensity_market_based</vt:lpstr>
      <vt:lpstr>template_label_total_scope_1_scope_2_and_scope_3_ghg_emissions_location_based</vt:lpstr>
      <vt:lpstr>template_label_total_scope_1_scope_2_and_scope_3_ghg_emissions_market_based</vt:lpstr>
      <vt:lpstr>template_label_total_scope_3_ghg_emissions</vt:lpstr>
      <vt:lpstr>template_label_total_sealed_area</vt:lpstr>
      <vt:lpstr>template_label_total_self_employed_workers_without_personnel_that_are_working_exclusively_for_the_undertaking</vt:lpstr>
      <vt:lpstr>template_label_total_temporary_workers_provided_by_undertakings_primarily_engaged_in_employment_activities</vt:lpstr>
      <vt:lpstr>template_label_total_use_of_land</vt:lpstr>
      <vt:lpstr>template_label_total_waste_generated_mass</vt:lpstr>
      <vt:lpstr>template_label_total_waste_generated_volume</vt:lpstr>
      <vt:lpstr>template_label_total_waste_recycled_reused_and_directed_to_disposal</vt:lpstr>
      <vt:lpstr>template_label_total_water_consumption</vt:lpstr>
      <vt:lpstr>template_label_transfer_the_total_results_to_the_b3_fuel_energy_consumption_reporting_cell</vt:lpstr>
      <vt:lpstr>template_label_turnover_in</vt:lpstr>
      <vt:lpstr>template_label_type_of_contract</vt:lpstr>
      <vt:lpstr>template_label_type_of_waste</vt:lpstr>
      <vt:lpstr>template_label_type_of_waste_warning</vt:lpstr>
      <vt:lpstr>template_label_typical_renewable_state</vt:lpstr>
      <vt:lpstr>template_label_undertaking_applies_circular_economy_principles</vt:lpstr>
      <vt:lpstr>template_label_undertaking_has_a_practice_policy_and_or_future_initiative_that_is_publicly_available</vt:lpstr>
      <vt:lpstr>template_label_undertaking_has_set_a_target_which_is_related_to_a_policy</vt:lpstr>
      <vt:lpstr>template_label_undertaking_operating_in_more_than_one_country</vt:lpstr>
      <vt:lpstr>template_label_undertakings_are_excluded_from_any_eu_reference_benchmarks_that_are_aligned_with_the_paris_agreement</vt:lpstr>
      <vt:lpstr>template_label_undertakings_are_excluded_from_the_eu_paris_aligned_benchmarks_if_they_derive</vt:lpstr>
      <vt:lpstr>template_label_undertakings_legal_form</vt:lpstr>
      <vt:lpstr>template_label_unit_of_measurement</vt:lpstr>
      <vt:lpstr>template_label_unit_of_measurement_converter</vt:lpstr>
      <vt:lpstr>template_label_unit_of_measurement_of_density_converter</vt:lpstr>
      <vt:lpstr>template_label_unit_of_measurement_of_density_converter_list</vt:lpstr>
      <vt:lpstr>template_label_unit_of_measurement_of_energy_consumption_per_hour</vt:lpstr>
      <vt:lpstr>template_label_unit_of_measurement_of_energy_converter_list</vt:lpstr>
      <vt:lpstr>template_label_unit_of_measurement_of_mass_converter</vt:lpstr>
      <vt:lpstr>template_label_unit_of_measurement_of_mass_converter_list</vt:lpstr>
      <vt:lpstr>template_label_unit_of_measurement_of_ncv_converter</vt:lpstr>
      <vt:lpstr>template_label_unit_of_measurement_of_ncv_converter_list</vt:lpstr>
      <vt:lpstr>template_label_unit_of_measurement_of_volume_converter</vt:lpstr>
      <vt:lpstr>template_label_unit_of_measurement_of_volume_converter_list</vt:lpstr>
      <vt:lpstr>template_label_usage_of_fuel_converter</vt:lpstr>
      <vt:lpstr>template_label_usage_of_unit_of_measurement_converter</vt:lpstr>
      <vt:lpstr>template_label_validation_classified_or_sensitive_information</vt:lpstr>
      <vt:lpstr>template_label_validation_missing_value_error_velue_inconsistency_invalid_url</vt:lpstr>
      <vt:lpstr>template_label_validation_ok</vt:lpstr>
      <vt:lpstr>template_label_value_inconsistency</vt:lpstr>
      <vt:lpstr>template_label_version</vt:lpstr>
      <vt:lpstr>template_label_volume</vt:lpstr>
      <vt:lpstr>template_label_vsme_digital_template</vt:lpstr>
      <vt:lpstr>template_label_warning_microsoft_excel</vt:lpstr>
      <vt:lpstr>template_label_waste_directed_to_disposal</vt:lpstr>
      <vt:lpstr>template_label_waste_diverted_to_recycle_or_reuse</vt:lpstr>
      <vt:lpstr>template_label_water_and_marine_resources</vt:lpstr>
      <vt:lpstr>template_label_water_discharge_from_undertaking_production_processes</vt:lpstr>
      <vt:lpstr>template_label_workers_in_the_value_chain</vt:lpstr>
      <vt:lpstr>template_label_XBRL_facts_in_report</vt:lpstr>
      <vt:lpstr>template_label_year</vt:lpstr>
      <vt:lpstr>template_label_year_date</vt:lpstr>
      <vt:lpstr>template_language_selection</vt:lpstr>
      <vt:lpstr>template_overall_validation_status</vt:lpstr>
      <vt:lpstr>template_reporting_entity_identifier</vt:lpstr>
      <vt:lpstr>template_reporting_entity_identifier_scheme</vt:lpstr>
      <vt:lpstr>template_reporting_entity_name</vt:lpstr>
      <vt:lpstr>template_reporting_period_display</vt:lpstr>
      <vt:lpstr>template_reporting_period_enddate</vt:lpstr>
      <vt:lpstr>template_reporting_period_startdate</vt:lpstr>
      <vt:lpstr>template_reporting_schemaRef</vt:lpstr>
      <vt:lpstr>template_reporting_subtitle</vt:lpstr>
      <vt:lpstr>template_reporting_template_version</vt:lpstr>
      <vt:lpstr>template_reporting_title</vt:lpstr>
      <vt:lpstr>template_selected_display_language</vt:lpstr>
      <vt:lpstr>template_starting_date_display</vt:lpstr>
      <vt:lpstr>template_translations</vt:lpstr>
      <vt:lpstr>template_vsme_digital_template_sample</vt:lpstr>
      <vt:lpstr>TimeHorizonsOfAnyClimateRelatedHazardsAndTransitionEventsIdentified</vt:lpstr>
      <vt:lpstr>TotalAmountOfFinesForTheViolationOfAnticorruptionAndAntibriberyLaws</vt:lpstr>
      <vt:lpstr>TotalAmountOfWaterWithdrawnFromAllSites</vt:lpstr>
      <vt:lpstr>TotalEnergyConsumption</vt:lpstr>
      <vt:lpstr>TotalGrossLocationBasedGHGEmissions_BaselineYearMember</vt:lpstr>
      <vt:lpstr>TotalGrossLocationBasedGHGEmissions_CurrentlyStatedMember</vt:lpstr>
      <vt:lpstr>TotalGrossLocationBasedGHGEmissions_TargetYearMember</vt:lpstr>
      <vt:lpstr>TotalGrossLocationBasedScope1AndScope2GHGEmissions</vt:lpstr>
      <vt:lpstr>TotalGrossLocationBasedScope1AndScope2GHGEmissions_BaselineYearMember</vt:lpstr>
      <vt:lpstr>TotalGrossLocationBasedScope1AndScope2GHGEmissions_TargetYearMember</vt:lpstr>
      <vt:lpstr>TotalGrossMarketBasedGHGEmissions_BaselineYearMember</vt:lpstr>
      <vt:lpstr>TotalGrossMarketBasedGHGEmissions_CurrentlyStatedMember</vt:lpstr>
      <vt:lpstr>TotalGrossMarketBasedGHGEmissions_TargetYearMember</vt:lpstr>
      <vt:lpstr>TotalGrossMarketBasedScope1AndScope2GHGEmissions</vt:lpstr>
      <vt:lpstr>TotalGrossMarketBasedScope1AndScope2GHGEmissions_BaselineYearMember</vt:lpstr>
      <vt:lpstr>TotalGrossMarketBasedScope1AndScope2GHGEmissions_TargetYearMember</vt:lpstr>
      <vt:lpstr>TotalHazardousWasteGeneratedMass</vt:lpstr>
      <vt:lpstr>TotalHazardousWasteGeneratedMass_unit</vt:lpstr>
      <vt:lpstr>TotalHazardousWasteGeneratedVolume</vt:lpstr>
      <vt:lpstr>TotalHazardousWasteGeneratedVolume_unit</vt:lpstr>
      <vt:lpstr>TotalLocationBasedGreenhouseGasEmissionsIntensityValue</vt:lpstr>
      <vt:lpstr>TotalMarketBasedGreenhouseGasEmissionsIntensityValue</vt:lpstr>
      <vt:lpstr>TotalMassOfMaterialUsed</vt:lpstr>
      <vt:lpstr>TotalMassOfMaterialUsed_unit</vt:lpstr>
      <vt:lpstr>TotalNatureOrientedAreaOffSite</vt:lpstr>
      <vt:lpstr>TotalNatureOrientedAreaOffSite_unit</vt:lpstr>
      <vt:lpstr>TotalNatureOrientedAreaOnSite</vt:lpstr>
      <vt:lpstr>TotalNatureOrientedAreaOnSite_unit</vt:lpstr>
      <vt:lpstr>TotalNonHazardousWasteGeneratedMass</vt:lpstr>
      <vt:lpstr>TotalNonHazardousWasteGeneratedMass_unit</vt:lpstr>
      <vt:lpstr>TotalNonHazardousWasteGeneratedVolume</vt:lpstr>
      <vt:lpstr>TotalNonHazardousWasteGeneratedVolume_unit</vt:lpstr>
      <vt:lpstr>TotalNumberOfConvictionsForTheViolationOfAntiCorruptionAndAntiBriberyLaws</vt:lpstr>
      <vt:lpstr>TotalNumberOfSelfEmployedWorkersWithoutPersonnelThatAreWorkingExclusivelyForTheUndertaking</vt:lpstr>
      <vt:lpstr>TotalNumberOfTemporaryWorkersProvidedByUndertakingsPrimarilyEngagedInEmploymentActivities</vt:lpstr>
      <vt:lpstr>TotalRevenuesDerivedFromFossilFuelCoalOilAndGasSector</vt:lpstr>
      <vt:lpstr>TotalSealedArea</vt:lpstr>
      <vt:lpstr>TotalSealedArea_unit</vt:lpstr>
      <vt:lpstr>TotalUseOfLand</vt:lpstr>
      <vt:lpstr>TotalUseOfLand_unit</vt:lpstr>
      <vt:lpstr>TotalVolumeOfMaterialUsed</vt:lpstr>
      <vt:lpstr>TotalVolumeOfMaterialUsed_unit</vt:lpstr>
      <vt:lpstr>TotalWasteGeneratedMass</vt:lpstr>
      <vt:lpstr>TotalWasteGeneratedMass_unit</vt:lpstr>
      <vt:lpstr>TotalWasteGeneratedVolume</vt:lpstr>
      <vt:lpstr>TotalWasteGeneratedVolume_unit</vt:lpstr>
      <vt:lpstr>TotalWasteRecycledReusedAndDirectedToDisposalMass</vt:lpstr>
      <vt:lpstr>TotalWasteRecycledReusedAndDirectedToDisposalMass_unit</vt:lpstr>
      <vt:lpstr>TotalWasteRecycledReusedAndDirectedToDisposalVolume</vt:lpstr>
      <vt:lpstr>TotalWasteRecycledReusedAndDirectedToDisposalVolume_unit</vt:lpstr>
      <vt:lpstr>TotalWaterConsumption</vt:lpstr>
      <vt:lpstr>Turnover</vt:lpstr>
      <vt:lpstr>TypeOfContentCoveredByTheCodeOfConductOrHumanRightsPolicyForItsOwnWorkforce</vt:lpstr>
      <vt:lpstr>TypeOfHumanRightRelatedToTheConfirmedIncident</vt:lpstr>
      <vt:lpstr>TypeOfNumberOfEmployees</vt:lpstr>
      <vt:lpstr>TypeOfPollutantAxis</vt:lpstr>
      <vt:lpstr>TypeOfWasteAxis</vt:lpstr>
      <vt:lpstr>UndertakingAppliesCircularEconomyPrinciples</vt:lpstr>
      <vt:lpstr>UndertakingHasACodeOfConductOrHumanRightsPolicyForItsOwnWorkforce</vt:lpstr>
      <vt:lpstr>UndertakingHasAComplaintHandlingMechanismForItsOwnWorkforce</vt:lpstr>
      <vt:lpstr>UndertakingHasConfirmedHumanRightsIncidentsInItsOwnWorkforce</vt:lpstr>
      <vt:lpstr>UndertakingHasSetATargetWhichIsRelatedToAPolicy</vt:lpstr>
      <vt:lpstr>UndertakingIsAwareOfAnyConfirmedIncidentsInvolvingWorkersInTheValueChainAffectedCommunitiesConsumersAndEndUsers</vt:lpstr>
      <vt:lpstr>UndertakingsAreExcludedFromAnyEuReferenceBenchmarksThatAreAlignedWithTheParisAgreement</vt:lpstr>
      <vt:lpstr>UndertakingsLegalForm</vt:lpstr>
      <vt:lpstr>URLOrLinkToThePubliclyAvailableDisclosure</vt:lpstr>
      <vt:lpstr>VolumeOfMaterialUsed</vt:lpstr>
      <vt:lpstr>VolumeOfMaterialUsed_unit</vt:lpstr>
      <vt:lpstr>WasteDirectedToDisposalMass</vt:lpstr>
      <vt:lpstr>WasteDirectedToDisposalMass_unit</vt:lpstr>
      <vt:lpstr>WasteDirectedToDisposalVolume</vt:lpstr>
      <vt:lpstr>WasteDirectedToDisposalVolume_unit</vt:lpstr>
      <vt:lpstr>WasteDivertedToRecycleOrReuseMass</vt:lpstr>
      <vt:lpstr>WasteDivertedToRecycleOrReuseMass_unit</vt:lpstr>
      <vt:lpstr>WasteDivertedToRecycleOrReuseVolume</vt:lpstr>
      <vt:lpstr>WasteDivertedToRecycleOrReuseVolume_unit</vt:lpstr>
      <vt:lpstr>WasteGeneratedTable</vt:lpstr>
      <vt:lpstr>WaterDischargeFromUndertakingProductionProcesses</vt:lpstr>
      <vt:lpstr>WeightOfMaterialUsed</vt:lpstr>
      <vt:lpstr>WeightOfMaterialUsed_unit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Boessen</dc:creator>
  <cp:keywords/>
  <dc:description/>
  <cp:lastModifiedBy>papounet papounet</cp:lastModifiedBy>
  <cp:revision/>
  <dcterms:created xsi:type="dcterms:W3CDTF">2025-01-13T10:12:12Z</dcterms:created>
  <dcterms:modified xsi:type="dcterms:W3CDTF">2026-07-16T07:00:38Z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0x010100424757986E2540868CAE723C1A3093F1010075358054E2A84B419DAF55079D0D5A5D</vt:lpwstr>
  </property>
  <property fmtid="{D5CDD505-2E9C-101B-9397-08002B2CF9AE}" pid="3" name="efclTopics">
    <vt:lpwstr/>
  </property>
  <property fmtid="{D5CDD505-2E9C-101B-9397-08002B2CF9AE}" pid="4" name="efclDocumentType">
    <vt:lpwstr/>
  </property>
  <property fmtid="{D5CDD505-2E9C-101B-9397-08002B2CF9AE}" pid="5" name="efclStandards">
    <vt:lpwstr/>
  </property>
  <property fmtid="{D5CDD505-2E9C-101B-9397-08002B2CF9AE}" pid="6" name="efclProjectStage">
    <vt:lpwstr/>
  </property>
</Properties>
</file>